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75" yWindow="1710" windowWidth="11310" windowHeight="4830" tabRatio="827"/>
  </bookViews>
  <sheets>
    <sheet name="2018" sheetId="8" r:id="rId1"/>
  </sheets>
  <definedNames>
    <definedName name="_xlnm._FilterDatabase" localSheetId="0" hidden="1">'2018'!$A$14:$J$14</definedName>
    <definedName name="_xlnm.Print_Titles" localSheetId="0">'2018'!$13:$13</definedName>
  </definedNames>
  <calcPr calcId="145621" calcOnSave="0"/>
</workbook>
</file>

<file path=xl/calcChain.xml><?xml version="1.0" encoding="utf-8"?>
<calcChain xmlns="http://schemas.openxmlformats.org/spreadsheetml/2006/main">
  <c r="G1011" i="8" l="1"/>
  <c r="G414" i="8"/>
  <c r="G38" i="8" l="1"/>
  <c r="G1596" i="8"/>
  <c r="G1576" i="8"/>
  <c r="G1509" i="8"/>
  <c r="G1433" i="8"/>
  <c r="G1415" i="8"/>
  <c r="G1359" i="8"/>
  <c r="G1262" i="8"/>
  <c r="G1250" i="8"/>
  <c r="G1224" i="8"/>
  <c r="G1156" i="8"/>
  <c r="G1139" i="8"/>
  <c r="G1136" i="8"/>
  <c r="G1079" i="8"/>
  <c r="G1001" i="8"/>
  <c r="G917" i="8"/>
  <c r="G760" i="8"/>
  <c r="G725" i="8"/>
  <c r="G719" i="8"/>
  <c r="G628" i="8"/>
  <c r="G604" i="8"/>
  <c r="G532" i="8"/>
  <c r="G460" i="8"/>
  <c r="G447" i="8"/>
  <c r="G438" i="8"/>
  <c r="G237" i="8"/>
  <c r="G72" i="8"/>
  <c r="G51" i="8"/>
  <c r="G33" i="8"/>
  <c r="G20" i="8"/>
  <c r="G1049" i="8" l="1"/>
  <c r="G1048" i="8" s="1"/>
  <c r="G953" i="8"/>
  <c r="G952" i="8" s="1"/>
  <c r="G951" i="8" s="1"/>
  <c r="G950" i="8" s="1"/>
  <c r="G448" i="8"/>
  <c r="G1066" i="8"/>
  <c r="G1065" i="8" s="1"/>
  <c r="G1064" i="8" s="1"/>
  <c r="G1063" i="8" s="1"/>
  <c r="G1161" i="8"/>
  <c r="G1160" i="8" s="1"/>
  <c r="G121" i="8"/>
  <c r="G120" i="8" s="1"/>
  <c r="G119" i="8" s="1"/>
  <c r="G133" i="8" l="1"/>
  <c r="G182" i="8"/>
  <c r="G586" i="8" l="1"/>
  <c r="G158" i="8"/>
  <c r="G1590" i="8"/>
  <c r="G1583" i="8"/>
  <c r="G1575" i="8"/>
  <c r="G1557" i="8"/>
  <c r="G1525" i="8"/>
  <c r="G1517" i="8"/>
  <c r="G1513" i="8"/>
  <c r="G1504" i="8"/>
  <c r="G1498" i="8"/>
  <c r="G1490" i="8"/>
  <c r="G1476" i="8"/>
  <c r="G1447" i="8"/>
  <c r="G1441" i="8"/>
  <c r="G1437" i="8"/>
  <c r="G1428" i="8"/>
  <c r="G1422" i="8"/>
  <c r="G1414" i="8"/>
  <c r="G1400" i="8"/>
  <c r="G1371" i="8"/>
  <c r="G1365" i="8"/>
  <c r="G1363" i="8"/>
  <c r="G1354" i="8"/>
  <c r="G1348" i="8"/>
  <c r="G1340" i="8"/>
  <c r="G1320" i="8"/>
  <c r="G1296" i="8"/>
  <c r="G1278" i="8"/>
  <c r="G1228" i="8"/>
  <c r="G1206" i="8"/>
  <c r="G1116" i="8"/>
  <c r="G1102" i="8"/>
  <c r="G1023" i="8"/>
  <c r="G1000" i="8"/>
  <c r="G975" i="8"/>
  <c r="G974" i="8" s="1"/>
  <c r="G916" i="8"/>
  <c r="G876" i="8"/>
  <c r="G838" i="8"/>
  <c r="G837" i="8" s="1"/>
  <c r="G836" i="8" s="1"/>
  <c r="G835" i="8" s="1"/>
  <c r="G834" i="8" s="1"/>
  <c r="G823" i="8"/>
  <c r="G818" i="8"/>
  <c r="G817" i="8" s="1"/>
  <c r="G816" i="8" s="1"/>
  <c r="G795" i="8"/>
  <c r="G794" i="8" s="1"/>
  <c r="G793" i="8" s="1"/>
  <c r="G783" i="8"/>
  <c r="G782" i="8" s="1"/>
  <c r="G781" i="8" s="1"/>
  <c r="G780" i="8" s="1"/>
  <c r="G779" i="8" s="1"/>
  <c r="G778" i="8"/>
  <c r="G777" i="8" s="1"/>
  <c r="G776" i="8" s="1"/>
  <c r="G775" i="8" s="1"/>
  <c r="G774" i="8" s="1"/>
  <c r="G757" i="8"/>
  <c r="G756" i="8" s="1"/>
  <c r="G755" i="8" s="1"/>
  <c r="G738" i="8"/>
  <c r="G677" i="8"/>
  <c r="G669" i="8"/>
  <c r="G668" i="8" s="1"/>
  <c r="G667" i="8" s="1"/>
  <c r="G640" i="8"/>
  <c r="G639" i="8" s="1"/>
  <c r="G638" i="8"/>
  <c r="G637" i="8" s="1"/>
  <c r="G622" i="8"/>
  <c r="G621" i="8" s="1"/>
  <c r="G618" i="8"/>
  <c r="G617" i="8" s="1"/>
  <c r="G613" i="8"/>
  <c r="G581" i="8"/>
  <c r="G580" i="8" s="1"/>
  <c r="G579" i="8" s="1"/>
  <c r="G578" i="8" s="1"/>
  <c r="G577" i="8" s="1"/>
  <c r="G571" i="8"/>
  <c r="G570" i="8" s="1"/>
  <c r="G569" i="8" s="1"/>
  <c r="G568" i="8" s="1"/>
  <c r="G567" i="8" s="1"/>
  <c r="G566" i="8" s="1"/>
  <c r="G557" i="8"/>
  <c r="G556" i="8" s="1"/>
  <c r="G555" i="8" s="1"/>
  <c r="G554" i="8" s="1"/>
  <c r="G535" i="8"/>
  <c r="G534" i="8" s="1"/>
  <c r="G533" i="8" s="1"/>
  <c r="G528" i="8"/>
  <c r="G527" i="8" s="1"/>
  <c r="G522" i="8"/>
  <c r="G521" i="8" s="1"/>
  <c r="G520" i="8" s="1"/>
  <c r="G519" i="8" s="1"/>
  <c r="G499" i="8"/>
  <c r="G498" i="8" s="1"/>
  <c r="G497" i="8" s="1"/>
  <c r="G484" i="8"/>
  <c r="G483" i="8" s="1"/>
  <c r="G482" i="8" s="1"/>
  <c r="G481" i="8" s="1"/>
  <c r="G480" i="8" s="1"/>
  <c r="G479" i="8" s="1"/>
  <c r="G468" i="8"/>
  <c r="G437" i="8"/>
  <c r="G421" i="8"/>
  <c r="G413" i="8"/>
  <c r="G401" i="8"/>
  <c r="G398" i="8"/>
  <c r="G397" i="8"/>
  <c r="G389" i="8"/>
  <c r="G366" i="8"/>
  <c r="G361" i="8"/>
  <c r="G353" i="8"/>
  <c r="G349" i="8"/>
  <c r="G345" i="8"/>
  <c r="G336" i="8"/>
  <c r="G327" i="8"/>
  <c r="G314" i="8"/>
  <c r="G298" i="8"/>
  <c r="G294" i="8"/>
  <c r="G280" i="8"/>
  <c r="G251" i="8"/>
  <c r="G245" i="8"/>
  <c r="G241" i="8"/>
  <c r="G232" i="8"/>
  <c r="G226" i="8"/>
  <c r="G218" i="8"/>
  <c r="G204" i="8"/>
  <c r="G194" i="8"/>
  <c r="G189" i="8"/>
  <c r="G188" i="8"/>
  <c r="G185" i="8"/>
  <c r="G181" i="8"/>
  <c r="G179" i="8"/>
  <c r="G174" i="8"/>
  <c r="G165" i="8"/>
  <c r="G153" i="8"/>
  <c r="G145" i="8"/>
  <c r="G48" i="8"/>
  <c r="G28" i="8"/>
  <c r="G1090" i="8"/>
  <c r="G1089" i="8" s="1"/>
  <c r="G1087" i="8"/>
  <c r="G1086" i="8" s="1"/>
  <c r="G1085" i="8" s="1"/>
  <c r="G1081" i="8"/>
  <c r="G1080" i="8" s="1"/>
  <c r="G1078" i="8"/>
  <c r="G1077" i="8" s="1"/>
  <c r="G1073" i="8"/>
  <c r="G1072" i="8" s="1"/>
  <c r="G1070" i="8"/>
  <c r="G1060" i="8"/>
  <c r="G1059" i="8" s="1"/>
  <c r="G1057" i="8"/>
  <c r="G1054" i="8"/>
  <c r="G1053" i="8" s="1"/>
  <c r="G1052" i="8" s="1"/>
  <c r="G1046" i="8"/>
  <c r="G1041" i="8"/>
  <c r="G1040" i="8" s="1"/>
  <c r="G1039" i="8" s="1"/>
  <c r="G1038" i="8" s="1"/>
  <c r="G1037" i="8" s="1"/>
  <c r="G1036" i="8" s="1"/>
  <c r="G1033" i="8"/>
  <c r="G1032" i="8" s="1"/>
  <c r="G1031" i="8" s="1"/>
  <c r="G1029" i="8"/>
  <c r="G1028" i="8" s="1"/>
  <c r="G1027" i="8"/>
  <c r="G1026" i="8" s="1"/>
  <c r="G1022" i="8"/>
  <c r="G1021" i="8" s="1"/>
  <c r="G1020" i="8" s="1"/>
  <c r="G1019" i="8" s="1"/>
  <c r="G1016" i="8"/>
  <c r="G1015" i="8" s="1"/>
  <c r="G1014" i="8" s="1"/>
  <c r="G1013" i="8" s="1"/>
  <c r="G1012" i="8" s="1"/>
  <c r="G1010" i="8"/>
  <c r="G1009" i="8" s="1"/>
  <c r="G1008" i="8"/>
  <c r="G1007" i="8" s="1"/>
  <c r="G1005" i="8"/>
  <c r="G999" i="8"/>
  <c r="G998" i="8" s="1"/>
  <c r="G997" i="8" s="1"/>
  <c r="G992" i="8"/>
  <c r="G991" i="8" s="1"/>
  <c r="G990" i="8" s="1"/>
  <c r="G988" i="8"/>
  <c r="G986" i="8"/>
  <c r="G979" i="8"/>
  <c r="G978" i="8" s="1"/>
  <c r="G977" i="8" s="1"/>
  <c r="G971" i="8"/>
  <c r="G970" i="8" s="1"/>
  <c r="G969" i="8" s="1"/>
  <c r="G967" i="8"/>
  <c r="G966" i="8" s="1"/>
  <c r="G965" i="8" s="1"/>
  <c r="G962" i="8"/>
  <c r="G960" i="8"/>
  <c r="G958" i="8"/>
  <c r="G957" i="8" s="1"/>
  <c r="G956" i="8" s="1"/>
  <c r="G949" i="8"/>
  <c r="G948" i="8" s="1"/>
  <c r="G947" i="8" s="1"/>
  <c r="G946" i="8" s="1"/>
  <c r="G945" i="8" s="1"/>
  <c r="G940" i="8"/>
  <c r="G939" i="8" s="1"/>
  <c r="G938" i="8" s="1"/>
  <c r="G936" i="8"/>
  <c r="G935" i="8" s="1"/>
  <c r="G934" i="8" s="1"/>
  <c r="G932" i="8"/>
  <c r="G931" i="8" s="1"/>
  <c r="G930" i="8" s="1"/>
  <c r="G926" i="8"/>
  <c r="G925" i="8" s="1"/>
  <c r="G924" i="8" s="1"/>
  <c r="G922" i="8"/>
  <c r="G921" i="8" s="1"/>
  <c r="G920" i="8" s="1"/>
  <c r="G907" i="8"/>
  <c r="G906" i="8" s="1"/>
  <c r="G905" i="8" s="1"/>
  <c r="G904" i="8" s="1"/>
  <c r="G903" i="8" s="1"/>
  <c r="G902" i="8" s="1"/>
  <c r="G900" i="8"/>
  <c r="G899" i="8" s="1"/>
  <c r="G898" i="8" s="1"/>
  <c r="G897" i="8" s="1"/>
  <c r="G896" i="8" s="1"/>
  <c r="G894" i="8"/>
  <c r="G892" i="8"/>
  <c r="G889" i="8"/>
  <c r="G888" i="8"/>
  <c r="G881" i="8"/>
  <c r="G880" i="8" s="1"/>
  <c r="G879" i="8" s="1"/>
  <c r="G877" i="8"/>
  <c r="G867" i="8"/>
  <c r="G866" i="8" s="1"/>
  <c r="G865" i="8" s="1"/>
  <c r="G864" i="8"/>
  <c r="G863" i="8" s="1"/>
  <c r="G862" i="8" s="1"/>
  <c r="G860" i="8"/>
  <c r="G859" i="8" s="1"/>
  <c r="G858" i="8" s="1"/>
  <c r="G855" i="8"/>
  <c r="G854" i="8" s="1"/>
  <c r="G852" i="8"/>
  <c r="G851" i="8" s="1"/>
  <c r="G850" i="8"/>
  <c r="G849" i="8" s="1"/>
  <c r="G848" i="8" s="1"/>
  <c r="G847" i="8"/>
  <c r="G846" i="8" s="1"/>
  <c r="G845" i="8" s="1"/>
  <c r="G841" i="8"/>
  <c r="G840" i="8" s="1"/>
  <c r="G839" i="8" s="1"/>
  <c r="G830" i="8"/>
  <c r="G829" i="8" s="1"/>
  <c r="G828" i="8" s="1"/>
  <c r="G827" i="8" s="1"/>
  <c r="G826" i="8" s="1"/>
  <c r="G824" i="8"/>
  <c r="G809" i="8"/>
  <c r="G808" i="8" s="1"/>
  <c r="G807" i="8" s="1"/>
  <c r="G806" i="8" s="1"/>
  <c r="G805" i="8" s="1"/>
  <c r="G803" i="8"/>
  <c r="G802" i="8" s="1"/>
  <c r="G800" i="8"/>
  <c r="G799" i="8" s="1"/>
  <c r="G797" i="8"/>
  <c r="G796" i="8" s="1"/>
  <c r="G789" i="8"/>
  <c r="G788" i="8" s="1"/>
  <c r="G787" i="8" s="1"/>
  <c r="G771" i="8"/>
  <c r="G770" i="8" s="1"/>
  <c r="G769" i="8" s="1"/>
  <c r="G768" i="8" s="1"/>
  <c r="G767" i="8" s="1"/>
  <c r="G765" i="8"/>
  <c r="G764" i="8" s="1"/>
  <c r="G762" i="8"/>
  <c r="G761" i="8" s="1"/>
  <c r="G759" i="8"/>
  <c r="G758" i="8" s="1"/>
  <c r="G749" i="8"/>
  <c r="G748" i="8" s="1"/>
  <c r="G747" i="8" s="1"/>
  <c r="G746" i="8" s="1"/>
  <c r="G744" i="8"/>
  <c r="G743" i="8" s="1"/>
  <c r="G742" i="8" s="1"/>
  <c r="G739" i="8"/>
  <c r="G728" i="8"/>
  <c r="G726" i="8"/>
  <c r="G724" i="8"/>
  <c r="G718" i="8"/>
  <c r="G717" i="8" s="1"/>
  <c r="G716" i="8" s="1"/>
  <c r="G715" i="8" s="1"/>
  <c r="G714" i="8" s="1"/>
  <c r="G710" i="8"/>
  <c r="G709" i="8" s="1"/>
  <c r="G707" i="8"/>
  <c r="G706" i="8" s="1"/>
  <c r="G704" i="8"/>
  <c r="G703" i="8" s="1"/>
  <c r="G701" i="8"/>
  <c r="G700" i="8" s="1"/>
  <c r="G699" i="8" s="1"/>
  <c r="G697" i="8"/>
  <c r="G696" i="8" s="1"/>
  <c r="G695" i="8" s="1"/>
  <c r="G693" i="8"/>
  <c r="G692" i="8" s="1"/>
  <c r="G690" i="8"/>
  <c r="G689" i="8" s="1"/>
  <c r="G687" i="8"/>
  <c r="G686" i="8" s="1"/>
  <c r="G685" i="8"/>
  <c r="G683" i="8"/>
  <c r="G680" i="8"/>
  <c r="G672" i="8"/>
  <c r="G671" i="8" s="1"/>
  <c r="G670" i="8" s="1"/>
  <c r="G666" i="8"/>
  <c r="G665" i="8" s="1"/>
  <c r="G664" i="8"/>
  <c r="G663" i="8" s="1"/>
  <c r="G658" i="8"/>
  <c r="G657" i="8" s="1"/>
  <c r="G655" i="8"/>
  <c r="G654" i="8"/>
  <c r="G647" i="8"/>
  <c r="G645" i="8"/>
  <c r="G631" i="8"/>
  <c r="G630" i="8" s="1"/>
  <c r="G629" i="8" s="1"/>
  <c r="G627" i="8"/>
  <c r="G626" i="8" s="1"/>
  <c r="G625" i="8" s="1"/>
  <c r="G623" i="8"/>
  <c r="G619" i="8"/>
  <c r="G612" i="8"/>
  <c r="G611" i="8" s="1"/>
  <c r="G609" i="8"/>
  <c r="G608" i="8" s="1"/>
  <c r="G603" i="8"/>
  <c r="G602" i="8" s="1"/>
  <c r="G601" i="8" s="1"/>
  <c r="G600" i="8"/>
  <c r="G599" i="8" s="1"/>
  <c r="G598" i="8" s="1"/>
  <c r="G597" i="8" s="1"/>
  <c r="G594" i="8"/>
  <c r="G593" i="8" s="1"/>
  <c r="G592" i="8" s="1"/>
  <c r="G591" i="8" s="1"/>
  <c r="G585" i="8"/>
  <c r="G584" i="8" s="1"/>
  <c r="G583" i="8" s="1"/>
  <c r="G582" i="8" s="1"/>
  <c r="G564" i="8"/>
  <c r="G563" i="8" s="1"/>
  <c r="G561" i="8"/>
  <c r="G552" i="8"/>
  <c r="G551" i="8" s="1"/>
  <c r="G549" i="8"/>
  <c r="G548" i="8" s="1"/>
  <c r="G547" i="8"/>
  <c r="G546" i="8" s="1"/>
  <c r="G545" i="8" s="1"/>
  <c r="G544" i="8"/>
  <c r="G543" i="8" s="1"/>
  <c r="G542" i="8"/>
  <c r="G541" i="8" s="1"/>
  <c r="G538" i="8"/>
  <c r="G537" i="8" s="1"/>
  <c r="G531" i="8"/>
  <c r="G530" i="8" s="1"/>
  <c r="G525" i="8"/>
  <c r="G514" i="8"/>
  <c r="G513" i="8" s="1"/>
  <c r="G512" i="8" s="1"/>
  <c r="G510" i="8"/>
  <c r="G509" i="8" s="1"/>
  <c r="G507" i="8"/>
  <c r="G506" i="8" s="1"/>
  <c r="G505" i="8"/>
  <c r="G504" i="8" s="1"/>
  <c r="G503" i="8" s="1"/>
  <c r="G501" i="8"/>
  <c r="G500" i="8" s="1"/>
  <c r="G491" i="8"/>
  <c r="G490" i="8" s="1"/>
  <c r="G489" i="8" s="1"/>
  <c r="G488" i="8" s="1"/>
  <c r="G487" i="8" s="1"/>
  <c r="G1045" i="8" l="1"/>
  <c r="G1044" i="8" s="1"/>
  <c r="G973" i="8"/>
  <c r="G682" i="8"/>
  <c r="G681" i="8" s="1"/>
  <c r="G1025" i="8"/>
  <c r="G1024" i="8" s="1"/>
  <c r="G985" i="8"/>
  <c r="G984" i="8" s="1"/>
  <c r="G983" i="8" s="1"/>
  <c r="G982" i="8" s="1"/>
  <c r="G981" i="8" s="1"/>
  <c r="G1076" i="8"/>
  <c r="G1075" i="8" s="1"/>
  <c r="G478" i="8"/>
  <c r="G741" i="8"/>
  <c r="G915" i="8"/>
  <c r="G914" i="8" s="1"/>
  <c r="G913" i="8" s="1"/>
  <c r="G912" i="8" s="1"/>
  <c r="G929" i="8"/>
  <c r="G928" i="8" s="1"/>
  <c r="G662" i="8"/>
  <c r="G661" i="8" s="1"/>
  <c r="G676" i="8"/>
  <c r="G675" i="8" s="1"/>
  <c r="G891" i="8"/>
  <c r="G616" i="8"/>
  <c r="G615" i="8" s="1"/>
  <c r="G614" i="8" s="1"/>
  <c r="G773" i="8"/>
  <c r="G702" i="8"/>
  <c r="G644" i="8"/>
  <c r="G643" i="8" s="1"/>
  <c r="G642" i="8" s="1"/>
  <c r="G641" i="8" s="1"/>
  <c r="G919" i="8"/>
  <c r="G636" i="8"/>
  <c r="G635" i="8" s="1"/>
  <c r="G634" i="8" s="1"/>
  <c r="G633" i="8" s="1"/>
  <c r="G540" i="8"/>
  <c r="G536" i="8" s="1"/>
  <c r="G653" i="8"/>
  <c r="G652" i="8" s="1"/>
  <c r="G651" i="8" s="1"/>
  <c r="G650" i="8" s="1"/>
  <c r="G822" i="8"/>
  <c r="G821" i="8" s="1"/>
  <c r="G820" i="8" s="1"/>
  <c r="G819" i="8" s="1"/>
  <c r="G815" i="8" s="1"/>
  <c r="G814" i="8" s="1"/>
  <c r="G887" i="8"/>
  <c r="G886" i="8" s="1"/>
  <c r="G1018" i="8"/>
  <c r="G1056" i="8"/>
  <c r="G1051" i="8" s="1"/>
  <c r="G560" i="8"/>
  <c r="G723" i="8"/>
  <c r="G722" i="8" s="1"/>
  <c r="G721" i="8" s="1"/>
  <c r="G720" i="8" s="1"/>
  <c r="G713" i="8" s="1"/>
  <c r="G754" i="8"/>
  <c r="G753" i="8" s="1"/>
  <c r="G752" i="8" s="1"/>
  <c r="G964" i="8"/>
  <c r="G607" i="8"/>
  <c r="G606" i="8" s="1"/>
  <c r="G857" i="8"/>
  <c r="G875" i="8"/>
  <c r="G874" i="8" s="1"/>
  <c r="G873" i="8" s="1"/>
  <c r="G872" i="8" s="1"/>
  <c r="G959" i="8"/>
  <c r="G955" i="8" s="1"/>
  <c r="G1084" i="8"/>
  <c r="G1083" i="8" s="1"/>
  <c r="G844" i="8"/>
  <c r="G1004" i="8"/>
  <c r="G1003" i="8" s="1"/>
  <c r="G996" i="8" s="1"/>
  <c r="G596" i="8"/>
  <c r="G590" i="8" s="1"/>
  <c r="G496" i="8"/>
  <c r="G495" i="8" s="1"/>
  <c r="G494" i="8" s="1"/>
  <c r="G493" i="8" s="1"/>
  <c r="G529" i="8"/>
  <c r="G576" i="8"/>
  <c r="G575" i="8" s="1"/>
  <c r="G792" i="8"/>
  <c r="G791" i="8" s="1"/>
  <c r="G786" i="8" s="1"/>
  <c r="G785" i="8" s="1"/>
  <c r="G737" i="8"/>
  <c r="G736" i="8" s="1"/>
  <c r="G735" i="8" s="1"/>
  <c r="G734" i="8" s="1"/>
  <c r="G733" i="8" s="1"/>
  <c r="G524" i="8"/>
  <c r="G523" i="8" s="1"/>
  <c r="G1069" i="8"/>
  <c r="G1068" i="8" s="1"/>
  <c r="G944" i="8" l="1"/>
  <c r="G943" i="8" s="1"/>
  <c r="G1043" i="8"/>
  <c r="G995" i="8" s="1"/>
  <c r="G674" i="8"/>
  <c r="G660" i="8" s="1"/>
  <c r="G649" i="8" s="1"/>
  <c r="G751" i="8"/>
  <c r="G911" i="8"/>
  <c r="G885" i="8"/>
  <c r="G884" i="8" s="1"/>
  <c r="G883" i="8" s="1"/>
  <c r="G871" i="8" s="1"/>
  <c r="G732" i="8"/>
  <c r="G605" i="8"/>
  <c r="G843" i="8"/>
  <c r="G833" i="8" s="1"/>
  <c r="G832" i="8" s="1"/>
  <c r="G813" i="8" s="1"/>
  <c r="G518" i="8"/>
  <c r="G517" i="8" s="1"/>
  <c r="G516" i="8" s="1"/>
  <c r="G477" i="8" s="1"/>
  <c r="G910" i="8" l="1"/>
  <c r="G731" i="8"/>
  <c r="G589" i="8"/>
  <c r="G574" i="8" s="1"/>
  <c r="G1536" i="8" l="1"/>
  <c r="G1535" i="8" s="1"/>
  <c r="G83" i="8"/>
  <c r="G82" i="8" s="1"/>
  <c r="G459" i="8"/>
  <c r="G458" i="8" s="1"/>
  <c r="G457" i="8" s="1"/>
  <c r="G456" i="8" s="1"/>
  <c r="G455" i="8" s="1"/>
  <c r="G79" i="8"/>
  <c r="G429" i="8"/>
  <c r="G428" i="8" s="1"/>
  <c r="G427" i="8" s="1"/>
  <c r="G426" i="8" s="1"/>
  <c r="G425" i="8" s="1"/>
  <c r="G424" i="8" s="1"/>
  <c r="G176" i="8" l="1"/>
  <c r="G146" i="8"/>
  <c r="G1560" i="8" l="1"/>
  <c r="G1559" i="8" s="1"/>
  <c r="G1558" i="8" s="1"/>
  <c r="G1556" i="8"/>
  <c r="G1555" i="8" s="1"/>
  <c r="G1554" i="8" s="1"/>
  <c r="G1526" i="8"/>
  <c r="G1503" i="8"/>
  <c r="G1502" i="8" s="1"/>
  <c r="G1501" i="8" s="1"/>
  <c r="G1500" i="8" s="1"/>
  <c r="G1491" i="8"/>
  <c r="G1475" i="8"/>
  <c r="G1474" i="8" s="1"/>
  <c r="G1473" i="8" s="1"/>
  <c r="G1472" i="8" s="1"/>
  <c r="G1471" i="8" s="1"/>
  <c r="G1470" i="8" s="1"/>
  <c r="G1448" i="8"/>
  <c r="G1427" i="8"/>
  <c r="G1426" i="8" s="1"/>
  <c r="G1425" i="8" s="1"/>
  <c r="G1424" i="8" s="1"/>
  <c r="G1399" i="8"/>
  <c r="G1398" i="8" s="1"/>
  <c r="G1397" i="8" s="1"/>
  <c r="G1396" i="8" s="1"/>
  <c r="G1395" i="8" s="1"/>
  <c r="G1394" i="8" s="1"/>
  <c r="G1372" i="8"/>
  <c r="G1353" i="8"/>
  <c r="G1352" i="8" s="1"/>
  <c r="G1351" i="8" s="1"/>
  <c r="G1350" i="8" s="1"/>
  <c r="G1341" i="8"/>
  <c r="G1332" i="8"/>
  <c r="G1331" i="8" s="1"/>
  <c r="G1330" i="8" s="1"/>
  <c r="G1329" i="8"/>
  <c r="G1190" i="8"/>
  <c r="G1189" i="8" s="1"/>
  <c r="G1188" i="8" s="1"/>
  <c r="G1187" i="8" s="1"/>
  <c r="G1186" i="8" s="1"/>
  <c r="G1185" i="8" s="1"/>
  <c r="G1158" i="8"/>
  <c r="G1155" i="8" s="1"/>
  <c r="G1553" i="8" l="1"/>
  <c r="G1552" i="8" s="1"/>
  <c r="G1551" i="8" s="1"/>
  <c r="G1169" i="8"/>
  <c r="G1167" i="8"/>
  <c r="G1152" i="8"/>
  <c r="G1151" i="8" s="1"/>
  <c r="G1149" i="8"/>
  <c r="G1138" i="8"/>
  <c r="G1122" i="8"/>
  <c r="G1121" i="8" s="1"/>
  <c r="G1120" i="8" s="1"/>
  <c r="G446" i="8"/>
  <c r="G445" i="8" s="1"/>
  <c r="G405" i="8"/>
  <c r="G404" i="8" s="1"/>
  <c r="G403" i="8" s="1"/>
  <c r="G402" i="8" s="1"/>
  <c r="G365" i="8"/>
  <c r="G364" i="8" s="1"/>
  <c r="G363" i="8" s="1"/>
  <c r="G360" i="8"/>
  <c r="G359" i="8" s="1"/>
  <c r="G358" i="8" s="1"/>
  <c r="G354" i="8"/>
  <c r="G315" i="8"/>
  <c r="G279" i="8"/>
  <c r="G278" i="8" s="1"/>
  <c r="G277" i="8" s="1"/>
  <c r="G276" i="8" s="1"/>
  <c r="G275" i="8" s="1"/>
  <c r="G274" i="8" s="1"/>
  <c r="G252" i="8"/>
  <c r="G231" i="8"/>
  <c r="G230" i="8" s="1"/>
  <c r="G229" i="8" s="1"/>
  <c r="G228" i="8" s="1"/>
  <c r="G219" i="8"/>
  <c r="G90" i="8"/>
  <c r="G88" i="8"/>
  <c r="G67" i="8"/>
  <c r="G66" i="8" s="1"/>
  <c r="G65" i="8" s="1"/>
  <c r="G64" i="8" s="1"/>
  <c r="G52" i="8"/>
  <c r="G50" i="8" s="1"/>
  <c r="G1148" i="8" l="1"/>
  <c r="G1462" i="8" l="1"/>
  <c r="G1279" i="8" l="1"/>
  <c r="G1178" i="8"/>
  <c r="G1165" i="8"/>
  <c r="G1133" i="8"/>
  <c r="G1117" i="8"/>
  <c r="G469" i="8" l="1"/>
  <c r="G350" i="8" l="1"/>
  <c r="G337" i="8"/>
  <c r="G299" i="8" l="1"/>
  <c r="G243" i="8"/>
  <c r="G186" i="8"/>
  <c r="G168" i="8"/>
  <c r="G166" i="8"/>
  <c r="G29" i="8"/>
  <c r="G1595" i="8" l="1"/>
  <c r="G1594" i="8" s="1"/>
  <c r="G1593" i="8" s="1"/>
  <c r="G1592" i="8" s="1"/>
  <c r="G374" i="8"/>
  <c r="G373" i="8" s="1"/>
  <c r="G372" i="8" s="1"/>
  <c r="G371" i="8" s="1"/>
  <c r="G1214" i="8"/>
  <c r="G1213" i="8" s="1"/>
  <c r="G1212" i="8" s="1"/>
  <c r="G197" i="8" l="1"/>
  <c r="G196" i="8" s="1"/>
  <c r="G195" i="8" s="1"/>
  <c r="G250" i="8"/>
  <c r="G1524" i="8"/>
  <c r="G1370" i="8"/>
  <c r="G1446" i="8"/>
  <c r="G203" i="8"/>
  <c r="G1582" i="8"/>
  <c r="G1512" i="8"/>
  <c r="G1436" i="8"/>
  <c r="G1362" i="8"/>
  <c r="G1101" i="8"/>
  <c r="G217" i="8"/>
  <c r="G216" i="8" s="1"/>
  <c r="G240" i="8"/>
  <c r="G61" i="8"/>
  <c r="G60" i="8" s="1"/>
  <c r="G59" i="8" s="1"/>
  <c r="G58" i="8" s="1"/>
  <c r="G57" i="8" s="1"/>
  <c r="G112" i="8" l="1"/>
  <c r="G111" i="8" s="1"/>
  <c r="G110" i="8" s="1"/>
  <c r="G109" i="8" s="1"/>
  <c r="G95" i="8"/>
  <c r="G94" i="8" s="1"/>
  <c r="G93" i="8" s="1"/>
  <c r="G92" i="8" s="1"/>
  <c r="G91" i="8" s="1"/>
  <c r="G1145" i="8"/>
  <c r="G1144" i="8" s="1"/>
  <c r="G106" i="8" l="1"/>
  <c r="G104" i="8" s="1"/>
  <c r="G1243" i="8" l="1"/>
  <c r="G1543" i="8" l="1"/>
  <c r="G422" i="8"/>
  <c r="G1241" i="8"/>
  <c r="G1135" i="8" l="1"/>
  <c r="G1134" i="8" s="1"/>
  <c r="G1132" i="8" l="1"/>
  <c r="G1131" i="8" s="1"/>
  <c r="G23" i="8"/>
  <c r="G22" i="8" s="1"/>
  <c r="G21" i="8" s="1"/>
  <c r="G27" i="8"/>
  <c r="G26" i="8" s="1"/>
  <c r="G25" i="8" s="1"/>
  <c r="G32" i="8"/>
  <c r="G31" i="8" s="1"/>
  <c r="G30" i="8" s="1"/>
  <c r="G36" i="8"/>
  <c r="G42" i="8"/>
  <c r="G41" i="8" s="1"/>
  <c r="G43" i="8"/>
  <c r="G45" i="8"/>
  <c r="G47" i="8"/>
  <c r="G55" i="8"/>
  <c r="G54" i="8" s="1"/>
  <c r="G53" i="8" s="1"/>
  <c r="G71" i="8"/>
  <c r="G70" i="8" s="1"/>
  <c r="G69" i="8" s="1"/>
  <c r="G63" i="8" s="1"/>
  <c r="G77" i="8"/>
  <c r="G87" i="8"/>
  <c r="G89" i="8"/>
  <c r="G100" i="8"/>
  <c r="G99" i="8" s="1"/>
  <c r="G98" i="8" s="1"/>
  <c r="G108" i="8"/>
  <c r="G107" i="8" s="1"/>
  <c r="G117" i="8"/>
  <c r="G116" i="8" s="1"/>
  <c r="G115" i="8" s="1"/>
  <c r="G114" i="8" s="1"/>
  <c r="G126" i="8"/>
  <c r="G125" i="8" s="1"/>
  <c r="G124" i="8" s="1"/>
  <c r="G123" i="8" s="1"/>
  <c r="G132" i="8"/>
  <c r="G131" i="8" s="1"/>
  <c r="G130" i="8" s="1"/>
  <c r="G129" i="8" s="1"/>
  <c r="G128" i="8" s="1"/>
  <c r="G137" i="8"/>
  <c r="G136" i="8" s="1"/>
  <c r="G135" i="8" s="1"/>
  <c r="G134" i="8" s="1"/>
  <c r="G144" i="8"/>
  <c r="G143" i="8" s="1"/>
  <c r="G142" i="8" s="1"/>
  <c r="G152" i="8"/>
  <c r="G151" i="8" s="1"/>
  <c r="G150" i="8" s="1"/>
  <c r="G149" i="8" s="1"/>
  <c r="G155" i="8"/>
  <c r="G157" i="8"/>
  <c r="G160" i="8"/>
  <c r="G162" i="8"/>
  <c r="G164" i="8"/>
  <c r="G167" i="8"/>
  <c r="G170" i="8"/>
  <c r="G173" i="8"/>
  <c r="G178" i="8"/>
  <c r="G180" i="8"/>
  <c r="G184" i="8"/>
  <c r="G187" i="8"/>
  <c r="G193" i="8"/>
  <c r="G192" i="8" s="1"/>
  <c r="G191" i="8" s="1"/>
  <c r="G202" i="8"/>
  <c r="G201" i="8" s="1"/>
  <c r="G200" i="8" s="1"/>
  <c r="G199" i="8" s="1"/>
  <c r="G210" i="8"/>
  <c r="G209" i="8" s="1"/>
  <c r="G208" i="8" s="1"/>
  <c r="G207" i="8" s="1"/>
  <c r="G206" i="8" s="1"/>
  <c r="G215" i="8"/>
  <c r="G225" i="8"/>
  <c r="G224" i="8" s="1"/>
  <c r="G223" i="8" s="1"/>
  <c r="G222" i="8" s="1"/>
  <c r="G234" i="8"/>
  <c r="G236" i="8"/>
  <c r="G242" i="8"/>
  <c r="G244" i="8"/>
  <c r="G249" i="8"/>
  <c r="G248" i="8" s="1"/>
  <c r="G247" i="8" s="1"/>
  <c r="G246" i="8" s="1"/>
  <c r="G257" i="8"/>
  <c r="G256" i="8" s="1"/>
  <c r="G255" i="8" s="1"/>
  <c r="G254" i="8" s="1"/>
  <c r="G253" i="8" s="1"/>
  <c r="G263" i="8"/>
  <c r="G265" i="8"/>
  <c r="G272" i="8"/>
  <c r="G271" i="8" s="1"/>
  <c r="G270" i="8" s="1"/>
  <c r="G269" i="8" s="1"/>
  <c r="G268" i="8" s="1"/>
  <c r="G267" i="8" s="1"/>
  <c r="G286" i="8"/>
  <c r="G285" i="8" s="1"/>
  <c r="G284" i="8" s="1"/>
  <c r="G283" i="8" s="1"/>
  <c r="G282" i="8" s="1"/>
  <c r="G281" i="8" s="1"/>
  <c r="G293" i="8"/>
  <c r="G292" i="8" s="1"/>
  <c r="G291" i="8" s="1"/>
  <c r="G297" i="8"/>
  <c r="G296" i="8" s="1"/>
  <c r="G295" i="8" s="1"/>
  <c r="G303" i="8"/>
  <c r="G306" i="8"/>
  <c r="G305" i="8" s="1"/>
  <c r="G313" i="8"/>
  <c r="G312" i="8" s="1"/>
  <c r="G311" i="8" s="1"/>
  <c r="G319" i="8"/>
  <c r="G318" i="8" s="1"/>
  <c r="G317" i="8" s="1"/>
  <c r="G329" i="8"/>
  <c r="G326" i="8" s="1"/>
  <c r="G325" i="8" s="1"/>
  <c r="G324" i="8" s="1"/>
  <c r="G323" i="8" s="1"/>
  <c r="G322" i="8" s="1"/>
  <c r="G335" i="8"/>
  <c r="G334" i="8" s="1"/>
  <c r="G333" i="8" s="1"/>
  <c r="G341" i="8"/>
  <c r="G344" i="8"/>
  <c r="G352" i="8"/>
  <c r="G370" i="8"/>
  <c r="G368" i="8" s="1"/>
  <c r="G367" i="8" s="1"/>
  <c r="G381" i="8"/>
  <c r="G380" i="8" s="1"/>
  <c r="G379" i="8" s="1"/>
  <c r="G378" i="8" s="1"/>
  <c r="G377" i="8" s="1"/>
  <c r="G376" i="8" s="1"/>
  <c r="G388" i="8"/>
  <c r="G387" i="8" s="1"/>
  <c r="G386" i="8" s="1"/>
  <c r="G394" i="8"/>
  <c r="G396" i="8"/>
  <c r="G400" i="8"/>
  <c r="G399" i="8" s="1"/>
  <c r="G412" i="8"/>
  <c r="G411" i="8" s="1"/>
  <c r="G410" i="8" s="1"/>
  <c r="G418" i="8"/>
  <c r="G420" i="8"/>
  <c r="G436" i="8"/>
  <c r="G440" i="8"/>
  <c r="G443" i="8"/>
  <c r="G442" i="8" s="1"/>
  <c r="G453" i="8"/>
  <c r="G452" i="8" s="1"/>
  <c r="G451" i="8" s="1"/>
  <c r="G450" i="8" s="1"/>
  <c r="G467" i="8"/>
  <c r="G466" i="8" s="1"/>
  <c r="G465" i="8" s="1"/>
  <c r="G464" i="8" s="1"/>
  <c r="G474" i="8"/>
  <c r="G473" i="8" s="1"/>
  <c r="G472" i="8" s="1"/>
  <c r="G471" i="8" s="1"/>
  <c r="G1097" i="8"/>
  <c r="G1106" i="8"/>
  <c r="G1105" i="8" s="1"/>
  <c r="G1115" i="8"/>
  <c r="G1114" i="8" s="1"/>
  <c r="G1113" i="8" s="1"/>
  <c r="G1112" i="8" s="1"/>
  <c r="G1126" i="8"/>
  <c r="G1125" i="8" s="1"/>
  <c r="G1124" i="8" s="1"/>
  <c r="G1119" i="8" s="1"/>
  <c r="G1137" i="8"/>
  <c r="G1142" i="8"/>
  <c r="G1141" i="8" s="1"/>
  <c r="G1140" i="8" s="1"/>
  <c r="G1164" i="8"/>
  <c r="G1166" i="8"/>
  <c r="G1168" i="8"/>
  <c r="G1171" i="8"/>
  <c r="G1170" i="8" s="1"/>
  <c r="G1177" i="8"/>
  <c r="G1176" i="8" s="1"/>
  <c r="G1175" i="8" s="1"/>
  <c r="G1174" i="8" s="1"/>
  <c r="G1173" i="8" s="1"/>
  <c r="G1183" i="8"/>
  <c r="G1182" i="8" s="1"/>
  <c r="G1181" i="8" s="1"/>
  <c r="G1180" i="8" s="1"/>
  <c r="G1179" i="8" s="1"/>
  <c r="G1197" i="8"/>
  <c r="G1196" i="8" s="1"/>
  <c r="G1195" i="8" s="1"/>
  <c r="G1194" i="8" s="1"/>
  <c r="G1193" i="8" s="1"/>
  <c r="G1192" i="8" s="1"/>
  <c r="G1207" i="8"/>
  <c r="G1205" i="8" s="1"/>
  <c r="G1209" i="8"/>
  <c r="G1219" i="8"/>
  <c r="G1221" i="8"/>
  <c r="G1223" i="8"/>
  <c r="G1227" i="8"/>
  <c r="G1226" i="8" s="1"/>
  <c r="G1225" i="8" s="1"/>
  <c r="G1234" i="8"/>
  <c r="G1233" i="8" s="1"/>
  <c r="G1232" i="8" s="1"/>
  <c r="G1231" i="8" s="1"/>
  <c r="G1230" i="8" s="1"/>
  <c r="G1229" i="8" s="1"/>
  <c r="G1240" i="8"/>
  <c r="G1242" i="8"/>
  <c r="G1248" i="8"/>
  <c r="G1247" i="8" s="1"/>
  <c r="G1249" i="8"/>
  <c r="G1253" i="8"/>
  <c r="G1252" i="8" s="1"/>
  <c r="G1251" i="8" s="1"/>
  <c r="G1260" i="8"/>
  <c r="G1259" i="8" s="1"/>
  <c r="G1261" i="8"/>
  <c r="G1268" i="8"/>
  <c r="G1267" i="8" s="1"/>
  <c r="G1270" i="8"/>
  <c r="G1269" i="8" s="1"/>
  <c r="G1277" i="8"/>
  <c r="G1276" i="8" s="1"/>
  <c r="G1275" i="8" s="1"/>
  <c r="G1274" i="8" s="1"/>
  <c r="G1284" i="8"/>
  <c r="G1283" i="8" s="1"/>
  <c r="G1287" i="8"/>
  <c r="G1286" i="8" s="1"/>
  <c r="G1295" i="8"/>
  <c r="G1294" i="8" s="1"/>
  <c r="G1293" i="8" s="1"/>
  <c r="G1292" i="8" s="1"/>
  <c r="G1301" i="8"/>
  <c r="G1300" i="8" s="1"/>
  <c r="G1299" i="8" s="1"/>
  <c r="G1298" i="8" s="1"/>
  <c r="G1307" i="8"/>
  <c r="G1309" i="8"/>
  <c r="G1317" i="8"/>
  <c r="G1319" i="8"/>
  <c r="G1328" i="8"/>
  <c r="G1327" i="8" s="1"/>
  <c r="G1326" i="8" s="1"/>
  <c r="G1325" i="8" s="1"/>
  <c r="G1339" i="8"/>
  <c r="G1338" i="8" s="1"/>
  <c r="G1337" i="8" s="1"/>
  <c r="G1347" i="8"/>
  <c r="G1346" i="8" s="1"/>
  <c r="G1345" i="8" s="1"/>
  <c r="G1344" i="8" s="1"/>
  <c r="G1356" i="8"/>
  <c r="G1358" i="8"/>
  <c r="G1364" i="8"/>
  <c r="G1361" i="8" s="1"/>
  <c r="G1369" i="8"/>
  <c r="G1368" i="8" s="1"/>
  <c r="G1367" i="8" s="1"/>
  <c r="G1366" i="8" s="1"/>
  <c r="G1377" i="8"/>
  <c r="G1376" i="8" s="1"/>
  <c r="G1375" i="8" s="1"/>
  <c r="G1374" i="8" s="1"/>
  <c r="G1373" i="8" s="1"/>
  <c r="G1383" i="8"/>
  <c r="G1386" i="8"/>
  <c r="G1385" i="8" s="1"/>
  <c r="G1392" i="8"/>
  <c r="G1391" i="8" s="1"/>
  <c r="G1390" i="8" s="1"/>
  <c r="G1389" i="8" s="1"/>
  <c r="G1388" i="8" s="1"/>
  <c r="G1387" i="8" s="1"/>
  <c r="G1406" i="8"/>
  <c r="G1405" i="8" s="1"/>
  <c r="G1404" i="8" s="1"/>
  <c r="G1403" i="8" s="1"/>
  <c r="G1402" i="8" s="1"/>
  <c r="G1401" i="8" s="1"/>
  <c r="G1413" i="8"/>
  <c r="G1412" i="8" s="1"/>
  <c r="G1411" i="8" s="1"/>
  <c r="G1421" i="8"/>
  <c r="G1420" i="8" s="1"/>
  <c r="G1419" i="8" s="1"/>
  <c r="G1418" i="8" s="1"/>
  <c r="G1430" i="8"/>
  <c r="G1432" i="8"/>
  <c r="G1438" i="8"/>
  <c r="G1440" i="8"/>
  <c r="G1445" i="8"/>
  <c r="G1444" i="8" s="1"/>
  <c r="G1443" i="8" s="1"/>
  <c r="G1442" i="8" s="1"/>
  <c r="G1453" i="8"/>
  <c r="G1452" i="8" s="1"/>
  <c r="G1451" i="8" s="1"/>
  <c r="G1450" i="8" s="1"/>
  <c r="G1449" i="8" s="1"/>
  <c r="G1459" i="8"/>
  <c r="G1461" i="8"/>
  <c r="G1468" i="8"/>
  <c r="G1467" i="8" s="1"/>
  <c r="G1466" i="8" s="1"/>
  <c r="G1465" i="8" s="1"/>
  <c r="G1464" i="8" s="1"/>
  <c r="G1463" i="8" s="1"/>
  <c r="G1482" i="8"/>
  <c r="G1481" i="8" s="1"/>
  <c r="G1480" i="8" s="1"/>
  <c r="G1479" i="8" s="1"/>
  <c r="G1478" i="8" s="1"/>
  <c r="G1477" i="8" s="1"/>
  <c r="G1489" i="8"/>
  <c r="G1488" i="8" s="1"/>
  <c r="G1487" i="8" s="1"/>
  <c r="G1497" i="8"/>
  <c r="G1496" i="8" s="1"/>
  <c r="G1495" i="8" s="1"/>
  <c r="G1494" i="8" s="1"/>
  <c r="G1506" i="8"/>
  <c r="G1508" i="8"/>
  <c r="G1514" i="8"/>
  <c r="G1516" i="8"/>
  <c r="G1518" i="8"/>
  <c r="G1523" i="8"/>
  <c r="G1522" i="8" s="1"/>
  <c r="G1521" i="8" s="1"/>
  <c r="G1520" i="8" s="1"/>
  <c r="G1531" i="8"/>
  <c r="G1530" i="8" s="1"/>
  <c r="G1529" i="8" s="1"/>
  <c r="G1528" i="8" s="1"/>
  <c r="G1527" i="8" s="1"/>
  <c r="G1540" i="8"/>
  <c r="G1542" i="8"/>
  <c r="G1549" i="8"/>
  <c r="G1548" i="8" s="1"/>
  <c r="G1547" i="8" s="1"/>
  <c r="G1546" i="8" s="1"/>
  <c r="G1545" i="8" s="1"/>
  <c r="G1544" i="8" s="1"/>
  <c r="G1567" i="8"/>
  <c r="G1566" i="8" s="1"/>
  <c r="G1565" i="8" s="1"/>
  <c r="G1564" i="8" s="1"/>
  <c r="G1563" i="8" s="1"/>
  <c r="G1562" i="8" s="1"/>
  <c r="G1574" i="8"/>
  <c r="G1573" i="8" s="1"/>
  <c r="G1572" i="8" s="1"/>
  <c r="G1580" i="8"/>
  <c r="G1579" i="8" s="1"/>
  <c r="G1578" i="8" s="1"/>
  <c r="G1589" i="8"/>
  <c r="G1588" i="8" s="1"/>
  <c r="G1587" i="8" s="1"/>
  <c r="G76" i="8" l="1"/>
  <c r="G75" i="8" s="1"/>
  <c r="G74" i="8" s="1"/>
  <c r="G40" i="8"/>
  <c r="G35" i="8" s="1"/>
  <c r="G34" i="8" s="1"/>
  <c r="G169" i="8"/>
  <c r="G154" i="8" s="1"/>
  <c r="G1130" i="8"/>
  <c r="G1129" i="8" s="1"/>
  <c r="G1128" i="8" s="1"/>
  <c r="G1111" i="8"/>
  <c r="G1163" i="8"/>
  <c r="G1324" i="8"/>
  <c r="G1323" i="8" s="1"/>
  <c r="G357" i="8"/>
  <c r="G356" i="8" s="1"/>
  <c r="G19" i="8"/>
  <c r="G18" i="8" s="1"/>
  <c r="G17" i="8" s="1"/>
  <c r="G1586" i="8"/>
  <c r="G1585" i="8" s="1"/>
  <c r="G1511" i="8"/>
  <c r="G1505" i="8" s="1"/>
  <c r="G1435" i="8"/>
  <c r="G1429" i="8" s="1"/>
  <c r="G239" i="8"/>
  <c r="G233" i="8" s="1"/>
  <c r="G417" i="8"/>
  <c r="G416" i="8" s="1"/>
  <c r="G409" i="8" s="1"/>
  <c r="G408" i="8" s="1"/>
  <c r="G1204" i="8"/>
  <c r="G1203" i="8" s="1"/>
  <c r="G1202" i="8" s="1"/>
  <c r="G1172" i="8"/>
  <c r="G1218" i="8"/>
  <c r="G1217" i="8" s="1"/>
  <c r="G1216" i="8" s="1"/>
  <c r="G1211" i="8" s="1"/>
  <c r="G1539" i="8"/>
  <c r="G1538" i="8" s="1"/>
  <c r="G1316" i="8"/>
  <c r="G1315" i="8" s="1"/>
  <c r="G1314" i="8" s="1"/>
  <c r="G1313" i="8" s="1"/>
  <c r="G348" i="8"/>
  <c r="G343" i="8" s="1"/>
  <c r="G340" i="8" s="1"/>
  <c r="G339" i="8" s="1"/>
  <c r="G332" i="8" s="1"/>
  <c r="G1306" i="8"/>
  <c r="G1305" i="8" s="1"/>
  <c r="G1304" i="8" s="1"/>
  <c r="G1303" i="8" s="1"/>
  <c r="G393" i="8"/>
  <c r="G392" i="8" s="1"/>
  <c r="G385" i="8" s="1"/>
  <c r="G384" i="8" s="1"/>
  <c r="G1246" i="8"/>
  <c r="G1245" i="8" s="1"/>
  <c r="G1244" i="8" s="1"/>
  <c r="G262" i="8"/>
  <c r="G261" i="8" s="1"/>
  <c r="G260" i="8" s="1"/>
  <c r="G259" i="8" s="1"/>
  <c r="G1382" i="8"/>
  <c r="G1381" i="8" s="1"/>
  <c r="G1380" i="8" s="1"/>
  <c r="G1379" i="8" s="1"/>
  <c r="G302" i="8"/>
  <c r="G301" i="8" s="1"/>
  <c r="G290" i="8" s="1"/>
  <c r="G289" i="8" s="1"/>
  <c r="G310" i="8"/>
  <c r="G309" i="8" s="1"/>
  <c r="G1096" i="8"/>
  <c r="G1095" i="8" s="1"/>
  <c r="G1094" i="8" s="1"/>
  <c r="G1093" i="8" s="1"/>
  <c r="G1291" i="8"/>
  <c r="G1266" i="8"/>
  <c r="G1265" i="8" s="1"/>
  <c r="G1264" i="8" s="1"/>
  <c r="G1263" i="8" s="1"/>
  <c r="G435" i="8"/>
  <c r="G434" i="8" s="1"/>
  <c r="G433" i="8" s="1"/>
  <c r="G432" i="8" s="1"/>
  <c r="G1458" i="8"/>
  <c r="G1457" i="8" s="1"/>
  <c r="G1456" i="8" s="1"/>
  <c r="G1455" i="8" s="1"/>
  <c r="G463" i="8"/>
  <c r="G462" i="8" s="1"/>
  <c r="G1571" i="8"/>
  <c r="G1570" i="8" s="1"/>
  <c r="G1258" i="8"/>
  <c r="G1257" i="8" s="1"/>
  <c r="G1256" i="8" s="1"/>
  <c r="G1255" i="8" s="1"/>
  <c r="G1355" i="8"/>
  <c r="G86" i="8"/>
  <c r="G85" i="8" s="1"/>
  <c r="G81" i="8" s="1"/>
  <c r="G1282" i="8"/>
  <c r="G1281" i="8" s="1"/>
  <c r="G1273" i="8" s="1"/>
  <c r="G1272" i="8" s="1"/>
  <c r="G103" i="8"/>
  <c r="G102" i="8" s="1"/>
  <c r="G97" i="8" s="1"/>
  <c r="G1239" i="8"/>
  <c r="G1238" i="8" s="1"/>
  <c r="G1237" i="8" s="1"/>
  <c r="G1154" i="8" l="1"/>
  <c r="G1147" i="8" s="1"/>
  <c r="G1143" i="8" s="1"/>
  <c r="G1110" i="8" s="1"/>
  <c r="G1534" i="8"/>
  <c r="G1533" i="8" s="1"/>
  <c r="G73" i="8"/>
  <c r="G1493" i="8"/>
  <c r="G1486" i="8" s="1"/>
  <c r="G1417" i="8"/>
  <c r="G1410" i="8" s="1"/>
  <c r="G1409" i="8" s="1"/>
  <c r="G1343" i="8"/>
  <c r="G1336" i="8" s="1"/>
  <c r="G1335" i="8" s="1"/>
  <c r="G1312" i="8"/>
  <c r="G331" i="8"/>
  <c r="G16" i="8"/>
  <c r="G221" i="8"/>
  <c r="G214" i="8" s="1"/>
  <c r="G213" i="8" s="1"/>
  <c r="G148" i="8"/>
  <c r="G141" i="8" s="1"/>
  <c r="G140" i="8" s="1"/>
  <c r="G1201" i="8"/>
  <c r="G1290" i="8"/>
  <c r="G1236" i="8"/>
  <c r="G1485" i="8" l="1"/>
  <c r="G15" i="8"/>
  <c r="G1200" i="8"/>
  <c r="G1599" i="8" l="1"/>
</calcChain>
</file>

<file path=xl/sharedStrings.xml><?xml version="1.0" encoding="utf-8"?>
<sst xmlns="http://schemas.openxmlformats.org/spreadsheetml/2006/main" count="7762" uniqueCount="829">
  <si>
    <t>Рз</t>
  </si>
  <si>
    <t>ПР</t>
  </si>
  <si>
    <t>ЦСР</t>
  </si>
  <si>
    <t>ВР</t>
  </si>
  <si>
    <t>Сумма</t>
  </si>
  <si>
    <t>Общегосударственные вопросы</t>
  </si>
  <si>
    <t>01</t>
  </si>
  <si>
    <t>04</t>
  </si>
  <si>
    <t>Центральный аппарат</t>
  </si>
  <si>
    <t>05</t>
  </si>
  <si>
    <t>06</t>
  </si>
  <si>
    <t>Обслуживание государственного и муниципального долга</t>
  </si>
  <si>
    <t>Процентные платежи по долговым обязательствам</t>
  </si>
  <si>
    <t>Процентные платежи по муниципальному долгу</t>
  </si>
  <si>
    <t>Национальная безопасность и правоохранительная деятельность</t>
  </si>
  <si>
    <t>03</t>
  </si>
  <si>
    <t>02</t>
  </si>
  <si>
    <t>09</t>
  </si>
  <si>
    <t>Обеспечение деятельности подведомственных учреждений</t>
  </si>
  <si>
    <t>Национальная экономика</t>
  </si>
  <si>
    <t>Транспорт</t>
  </si>
  <si>
    <t>08</t>
  </si>
  <si>
    <t>Жилищно-коммунальное хозяйство</t>
  </si>
  <si>
    <t>Жилищное хозяйство</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</si>
  <si>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</si>
  <si>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</si>
  <si>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</si>
  <si>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14</t>
  </si>
  <si>
    <t xml:space="preserve">Физическая культура и спорт </t>
  </si>
  <si>
    <t>Образование</t>
  </si>
  <si>
    <t>07</t>
  </si>
  <si>
    <t>Дошкольное образование</t>
  </si>
  <si>
    <t>Общее образование</t>
  </si>
  <si>
    <t>Молодежная политика и оздоровление детей</t>
  </si>
  <si>
    <t>Другие вопросы в области образования</t>
  </si>
  <si>
    <t>Социальная политика</t>
  </si>
  <si>
    <t>10</t>
  </si>
  <si>
    <t>Пенсионное обеспечение</t>
  </si>
  <si>
    <t>Всего расходов</t>
  </si>
  <si>
    <t>Ведомственная структура расходов бюджета</t>
  </si>
  <si>
    <t>Доплаты к пенсиям государственных служащих субъектов Российской Федерации и муниципальных служащих</t>
  </si>
  <si>
    <t>Поисковые и аварийно-спасательные учреждения</t>
  </si>
  <si>
    <t>Другие общегосударственные вопросы</t>
  </si>
  <si>
    <t>Благоустройство</t>
  </si>
  <si>
    <t>Наименование</t>
  </si>
  <si>
    <t>Глава муниципального образования</t>
  </si>
  <si>
    <t>Обеспечение проведения выборов и референдумов</t>
  </si>
  <si>
    <t>11</t>
  </si>
  <si>
    <t>Комплектование книжных фондов библиотек муниципальных образований</t>
  </si>
  <si>
    <t>Защита населения и территории от последствий чрезвычайных ситуаций техногенного характера, гражданская оборона</t>
  </si>
  <si>
    <t>13</t>
  </si>
  <si>
    <t>Обслуживание  государственного внутреннего и муниципального долга</t>
  </si>
  <si>
    <t>Массовый спорт</t>
  </si>
  <si>
    <t>Физическая культура</t>
  </si>
  <si>
    <t>Избирательная комиссия муниципального образования г.Казани</t>
  </si>
  <si>
    <t>Резервные фонды</t>
  </si>
  <si>
    <t>Резервные фонды местных администраций</t>
  </si>
  <si>
    <t xml:space="preserve">Реализация государственных полномочий по образованию и организации деятельности административных комиссий </t>
  </si>
  <si>
    <t>Реализация государственных полномочий в области архивного дела</t>
  </si>
  <si>
    <t>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(или) иных объектов недвижимости</t>
  </si>
  <si>
    <t>Реализация государственных полномочий в области образования</t>
  </si>
  <si>
    <t>Реализация государственных полномочий в области государственной молодежной политики</t>
  </si>
  <si>
    <t>Реализация государственных полномочий по образованию и организации деятельности комиссий по делам несовершеннолетних и защите их прав</t>
  </si>
  <si>
    <t xml:space="preserve">                       Казанской городской Думы</t>
  </si>
  <si>
    <t xml:space="preserve">                       к решению</t>
  </si>
  <si>
    <t>Межбюджетные трансферты общего характера бюджетам субъектов Российской Федерации и муниципальных образований</t>
  </si>
  <si>
    <t>Межбюджетные трансферты</t>
  </si>
  <si>
    <t xml:space="preserve">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(городских округов) </t>
  </si>
  <si>
    <t>Муниципальное казенное учреждение "Аппарат Исполнительного комитета муниципального образования города Казани"</t>
  </si>
  <si>
    <t>Муниципальное казенное учреждение "Администрация Советского района Исполнительного комитета муниципального образования города Казани"</t>
  </si>
  <si>
    <t>Представительный орган муниципального образования города Казани - Казанская городская Дума</t>
  </si>
  <si>
    <t>Муниципальное казенное учреждение "Контрольно-счетная палата  муниципального образования города Казани"</t>
  </si>
  <si>
    <t>Муниципальное казенное учреждение "Комитет по транспорту Исполнительного комитета муниципального образования города Казани"</t>
  </si>
  <si>
    <t>Муниципальное казенное учреждение "Управление жилищной политики Исполнительного комитета муниципального образования города Казани"</t>
  </si>
  <si>
    <t>Муниципальное казенное учреждение "Управление архитектуры и градостроительства Исполнительного комитета муниципального образования города Казани"</t>
  </si>
  <si>
    <t>Муниципальное казенное учреждение "Комитет земельных и имущественных отношений Исполнительного комитета муниципального образования города Казани"</t>
  </si>
  <si>
    <t>Муниципальное казенное учреждение "Управление градостроительных разрешений Исполнительного комитета муниципального образования города Казани"</t>
  </si>
  <si>
    <t>Муниципальное казенное учреждение "Управление культуры Исполнительного комитета муниципального образования города Казани"</t>
  </si>
  <si>
    <t>Муниципальное казенное учреждение "Управление образования Исполнительного комитета муниципального образования города Казани"</t>
  </si>
  <si>
    <t>Муниципальное казенное учреждение "Комитет физической культуры и спорта Исполнительного комитета муниципального образования города Казани"</t>
  </si>
  <si>
    <t>Муниципальное казенное учреждение "Комитет по делам детей и молодежи Исполнительного комитета муниципального образования города Казани"</t>
  </si>
  <si>
    <t>Муниципальное казенное учреждение "Управление гражданской защиты Исполнительного комитета муниципального образования города Казани"</t>
  </si>
  <si>
    <t>Охрана окружающей среды</t>
  </si>
  <si>
    <t>Охрана объектов растительного и животного мира и среды их обитания</t>
  </si>
  <si>
    <t>Муниципальное казенное учреждение "Комитет жилищно-коммунального хозяйства Исполнительного комитета муниципального образования города Казани"</t>
  </si>
  <si>
    <t>Муниципальное казенное учреждение "Управление капитального строительства и реконструкции Исполнительного комитета муниципального образования города Казани"</t>
  </si>
  <si>
    <t>Муниципальное казенное учреждение "Комитет внешнего благоустройства Исполнительного комитета муниципального образования города Казани"</t>
  </si>
  <si>
    <t>Муниципальное казенное учреждение "Управление информационных технологий и связи Исполнительного комитета муниципального образования города Казани"</t>
  </si>
  <si>
    <t>Муниципальное казенное учреждение "Управление наружной рекламы и информации  Исполнительного комитета муниципального образования города Казани"</t>
  </si>
  <si>
    <t>Муниципальное казенное учреждение "Управление административно-технической инспекции Исполнительного комитета муниципального образования города Казани"</t>
  </si>
  <si>
    <t>Муниципальное казенное учреждение "Управление по организации ритуальных услуг  Исполнительного комитета муниципального образования города Казани"</t>
  </si>
  <si>
    <t>Муниципальное казенное учреждение "Администрация Авиастроительного и Ново-Савиновского районов Исполнительного комитета муниципального образования города Казани"</t>
  </si>
  <si>
    <t>Муниципальное казенное учреждение "Администрация Вахитовского  и Приволжского районов Исполнительного комитета муниципального образования города Казани"</t>
  </si>
  <si>
    <t>Муниципальное казенное учреждение "Администрация Кировского и Московского  районов Исполнительного комитета муниципального образования города Казани"</t>
  </si>
  <si>
    <t>Уплата налога на имущество организаций и земельного налога</t>
  </si>
  <si>
    <t>Социальное обеспечение населения</t>
  </si>
  <si>
    <t>Муниципальное казенное учреждение "Финансовое управление Исполнительного комитета муниципального образования города Казани"</t>
  </si>
  <si>
    <t>Муниципальное казенное учреждение «Префектура "Старый город" Исполнительного комитета муниципального образования города Казани»</t>
  </si>
  <si>
    <t>Здравоохранение</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</si>
  <si>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</si>
  <si>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Реализация государственных функций, связанных с общегосударственным управлением</t>
  </si>
  <si>
    <t>200</t>
  </si>
  <si>
    <t>Закупка товаров, работ и услуг для государственных (муниципальных) нужд</t>
  </si>
  <si>
    <t>100</t>
  </si>
  <si>
    <t>800</t>
  </si>
  <si>
    <t>300</t>
  </si>
  <si>
    <t>700</t>
  </si>
  <si>
    <t>600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</si>
  <si>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</si>
  <si>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</si>
  <si>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Обслуживание государственного (муниципального) долга</t>
  </si>
  <si>
    <t>Социальное обеспечение и иные выплаты населению</t>
  </si>
  <si>
    <t>Предоставление субсидий бюджетным, автономным учреждениям, иным некоммерческим организациям</t>
  </si>
  <si>
    <t>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</si>
  <si>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Охрана семьи и детства</t>
  </si>
  <si>
    <t>Непрограммные направления расходов</t>
  </si>
  <si>
    <t>Государственная программа «Социальная поддержка граждан Республики Татарстан» на 2014 – 2020 годы</t>
  </si>
  <si>
    <t>Подпрограмма «Развитие автомобильного, городского электрического транспорта, в том числе метро, на 2014 – 2020 годы»</t>
  </si>
  <si>
    <t>Обеспечение равной доступности услуг общественного транспорта</t>
  </si>
  <si>
    <t>Государственная программа «Развитие здравоохранения Республики Татарстан до 2020 года»</t>
  </si>
  <si>
    <t>Подпрограмма «Профилактика заболеваний и формирование здорового образа жизни.  Развитие первичной медико-санитарной помощи»</t>
  </si>
  <si>
    <t>Дорожное хозяйство</t>
  </si>
  <si>
    <t>99 0 00 0000 0</t>
  </si>
  <si>
    <t>99 0 00 0204 0</t>
  </si>
  <si>
    <t>99 0 00 2526 0</t>
  </si>
  <si>
    <t>99 0 92 0314 0</t>
  </si>
  <si>
    <t>99 0 92 0000 0</t>
  </si>
  <si>
    <t>Муниципальная программа "Развитие и повышение уровня благоустройства территории города Казани на 2016 - 2018 годы"</t>
  </si>
  <si>
    <t>Б1 0 00 0000 0</t>
  </si>
  <si>
    <t>Б1 0 ТС 0000 0</t>
  </si>
  <si>
    <t>Подпрограмма "Организация и проведение мероприятий для детей и молодежи"</t>
  </si>
  <si>
    <t>Основное мероприятие "Организация и проведение мероприятий для детей и молодежи"</t>
  </si>
  <si>
    <t>Организация и проведение мероприятий для детей и молодежи</t>
  </si>
  <si>
    <t>99 0 00 2230 0</t>
  </si>
  <si>
    <t>99 0 00 4910 0</t>
  </si>
  <si>
    <t>Организация и проведение мероприятий физической культуры и спорта в области массового спорта</t>
  </si>
  <si>
    <t>99 0 00 1287 0</t>
  </si>
  <si>
    <t>99 0 65 0000 0</t>
  </si>
  <si>
    <t>99 0 65 0300 0</t>
  </si>
  <si>
    <t>03 0 00 0000 0</t>
  </si>
  <si>
    <t>Подпрограмма «Улучшение социально-экономического положения семей» на 2015 – 2020 годы</t>
  </si>
  <si>
    <t>03 5 00 0000 0</t>
  </si>
  <si>
    <t>Основное мероприятие «Создание благоприятных условий для устройства детей-сирот и детей, оставшихся без попечения родителей, на воспитание в семью»</t>
  </si>
  <si>
    <t>03 5 03 0000 0</t>
  </si>
  <si>
    <t>Реализация государственных полномочий в области опеки и попечительства</t>
  </si>
  <si>
    <t>03 5 03 2533 0</t>
  </si>
  <si>
    <t>99 0 00 0295 0</t>
  </si>
  <si>
    <t>99 0 00 2527 0</t>
  </si>
  <si>
    <t>99 0 00 2534 0</t>
  </si>
  <si>
    <t>Реализация государственных полномочий по определению перечня  должностных лиц, уполномоченных составлять протоколы об административных правонарушениях</t>
  </si>
  <si>
    <t>99 0 00 2535 0</t>
  </si>
  <si>
    <t>Другие вопросы в области национальной безопасности и правоохранительной деятельности</t>
  </si>
  <si>
    <t>Подпрограмма "Развитие массовой физической культуры и спорта в г.Казани"</t>
  </si>
  <si>
    <t>Основное мероприятие "Физкультурно-оздоровительная работа и спортивные мероприятия"</t>
  </si>
  <si>
    <t>Обеспечение деятельности финансовых, налоговых и таможенных органов и органов финансового (финансово-бюджетного) надзора</t>
  </si>
  <si>
    <t>99 0 00 9299 0</t>
  </si>
  <si>
    <t>Государственная программа «Развитие транспортной системы Республики Татарстан на 2014 – 2022 годы»</t>
  </si>
  <si>
    <t>13 0 00 0000 0</t>
  </si>
  <si>
    <t>13 4 00 0000 0</t>
  </si>
  <si>
    <t>Отдельные мероприятия в области других видов транспорта</t>
  </si>
  <si>
    <t>99 0 00 2532 0</t>
  </si>
  <si>
    <t>08 0 00 0000 0</t>
  </si>
  <si>
    <t>Подпрограмма "Другие вопросы в области культуры"</t>
  </si>
  <si>
    <t>08 8 00 0000 0</t>
  </si>
  <si>
    <t>08 8 01 0000 0</t>
  </si>
  <si>
    <t>08 8 01 0204 0</t>
  </si>
  <si>
    <t>08 8 01 0295 0</t>
  </si>
  <si>
    <t>08 7 00 0000 0</t>
  </si>
  <si>
    <t>Основное мероприятие "Организация предоставления дополнительного образования"</t>
  </si>
  <si>
    <t>08 7 01 0000 0</t>
  </si>
  <si>
    <t>08 7 01 4232 0</t>
  </si>
  <si>
    <t>Основное мероприятие "Сохранение, поддержка и развитие детских сводных творческих коллективов"</t>
  </si>
  <si>
    <t>08 7 02 0000 0</t>
  </si>
  <si>
    <t xml:space="preserve">Обеспечение деятельности детских сводных творческих коллективов </t>
  </si>
  <si>
    <t>08 7 02 4232 0</t>
  </si>
  <si>
    <t>Основное мероприятие "Развитие и укрепление материально-технической базы"</t>
  </si>
  <si>
    <t>08 7 03 0000 0</t>
  </si>
  <si>
    <t>Обеспечение содержания муниципального имущества в надлежащем состоянии, проведение работ по устранению аварийных ситуаций, предписаний надзорных органов в рамках целевой субсидии</t>
  </si>
  <si>
    <t>08 7 03 9990 0</t>
  </si>
  <si>
    <t>08 8 02 0000 0</t>
  </si>
  <si>
    <t>Поддержка творческих коллективов детских художественных и музыкальных школ</t>
  </si>
  <si>
    <t>08 8 02 4239 0</t>
  </si>
  <si>
    <t xml:space="preserve">Культура и кинематография </t>
  </si>
  <si>
    <t>Культура</t>
  </si>
  <si>
    <t>Подпрограмма "Развитие музейного дела"</t>
  </si>
  <si>
    <t>08 1 00 0000 0</t>
  </si>
  <si>
    <t>Основное мероприятие "Развитие музеев"</t>
  </si>
  <si>
    <t>08 1 01 0000 0</t>
  </si>
  <si>
    <t>Обеспечение текущей деятельности музеев в рамках муниципального задания</t>
  </si>
  <si>
    <t>08 1 01 4419 0</t>
  </si>
  <si>
    <t>Подпрограмма "Развитие библиотечного дела"</t>
  </si>
  <si>
    <t>08 3 00 0000 0</t>
  </si>
  <si>
    <t>Основное мероприятие "Развитие библиотек"</t>
  </si>
  <si>
    <t>08 3 01 0000 0</t>
  </si>
  <si>
    <t>08 3 01 4401 0</t>
  </si>
  <si>
    <t>Обеспечение текущей деятельности библиотек в рамках муниципального задания</t>
  </si>
  <si>
    <t>08 3 01 4429 0</t>
  </si>
  <si>
    <t>Подпрограмма "Развитие культурно-досуговых учреждений и концертных организаций"</t>
  </si>
  <si>
    <t>08 4 00 0000 0</t>
  </si>
  <si>
    <t>Основное мероприятие "Развитие культурно-досуговых учреждений"</t>
  </si>
  <si>
    <t>08 4 01 0000 0</t>
  </si>
  <si>
    <t>Обеспечение текущей деятельности клубов и культурно-досуговых центров в рамках муниципального задания</t>
  </si>
  <si>
    <t>08 4 01 4409 0</t>
  </si>
  <si>
    <t>Основное мероприятие "Развитие концертных организаций"</t>
  </si>
  <si>
    <t>08 4 02 0000 0</t>
  </si>
  <si>
    <t>Обеспечение текущей деятельности концертных организаций в рамках муниципального задания</t>
  </si>
  <si>
    <t>08 4 02 4439 0</t>
  </si>
  <si>
    <t>Основное мероприятие "Софинансирование муниципальных творческих коллективов - получателей грантов Правительства Республики Татарстан"</t>
  </si>
  <si>
    <t>Поддержка творческих коллективов муниципальных учреждений культуры</t>
  </si>
  <si>
    <t>08 8 02 4400 5</t>
  </si>
  <si>
    <t>Основное мероприятие "Культурные мероприятия как ресурс развития города Казани"</t>
  </si>
  <si>
    <t>08 8 03 0000 0</t>
  </si>
  <si>
    <t>Организация и проведение мероприятий в области культуры</t>
  </si>
  <si>
    <t>08 8 03 4400 1</t>
  </si>
  <si>
    <t>Основное мероприятие "Развитие и укрепление материально-технической базы учреждений культуры"</t>
  </si>
  <si>
    <t>08 8 04 0000 0</t>
  </si>
  <si>
    <t>08 8 04 9990 0</t>
  </si>
  <si>
    <t>Другие вопросы в области культуры, кинематографии</t>
  </si>
  <si>
    <t>Основное мероприятие "Развитие системы муниципального управления в области культуры"</t>
  </si>
  <si>
    <t>Централизованная бухгалтерия</t>
  </si>
  <si>
    <t>08 8 01 4520 0</t>
  </si>
  <si>
    <t>02 0 00 0000 0</t>
  </si>
  <si>
    <t>02 2 00 0000 0</t>
  </si>
  <si>
    <t>Основное мероприятие «Обеспечение государственных гарантий реализации прав на получение общедоступного и бесплатного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</si>
  <si>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02 2 08 0000 0</t>
  </si>
  <si>
    <t>02 2 08 2530 2</t>
  </si>
  <si>
    <t>Подпрограмма "Другие вопросы в области образования"</t>
  </si>
  <si>
    <t>02 6 00 0000 0</t>
  </si>
  <si>
    <t>02 6 01 0000 0</t>
  </si>
  <si>
    <t>02 6 01 0204 0</t>
  </si>
  <si>
    <t xml:space="preserve">Подпрограмма «Развитие дошкольного образования, включая инклюзивное, и повышение квалификации работников данной сферы" </t>
  </si>
  <si>
    <t>02 1 00 0000 0</t>
  </si>
  <si>
    <t>Основное мероприятие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</si>
  <si>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02 1 01 0000 0</t>
  </si>
  <si>
    <t>02 1 01 2537 0</t>
  </si>
  <si>
    <t>Основное мероприятие "Реализация дошкольного образования"</t>
  </si>
  <si>
    <t>02 1 03 0000 0</t>
  </si>
  <si>
    <t>02 1 03 4200 0</t>
  </si>
  <si>
    <t>Подпрограмма «Развитие начального общего образования, основного общего и среднего общего образования</t>
  </si>
  <si>
    <t>02 2 02 0000 0</t>
  </si>
  <si>
    <t>02 2 02 4210 0</t>
  </si>
  <si>
    <t>02 2 02 4220 0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</si>
  <si>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</si>
  <si>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02 2 08 2528 0</t>
  </si>
  <si>
    <t>Подпрограмма "Развитие системы воспитания, дополнительного образования"</t>
  </si>
  <si>
    <t>02 3 00 0000 0</t>
  </si>
  <si>
    <t>02 3 01 0000 0</t>
  </si>
  <si>
    <t>02 3 01 4231 0</t>
  </si>
  <si>
    <t>02 3 01 4232 0</t>
  </si>
  <si>
    <t>Организация транспортных услуг по перевозке школьников</t>
  </si>
  <si>
    <t>02 2 02 4360 0</t>
  </si>
  <si>
    <t>Централизованная бухгалтерия, хозяйственно-эксплуатационная группа</t>
  </si>
  <si>
    <t>02 2 02 4520 0</t>
  </si>
  <si>
    <t>Организация государственных полномочий в области информационно-методического обеспечения</t>
  </si>
  <si>
    <t>02 2 08 2530 1</t>
  </si>
  <si>
    <t>02 6 01 4520 0</t>
  </si>
  <si>
    <t>02 6 02 0000 0</t>
  </si>
  <si>
    <t>Мероприятия, направленные на развитие образования, общегородские мероприятия</t>
  </si>
  <si>
    <t>02 6 02 4360 0</t>
  </si>
  <si>
    <t>02 6 03 0000 0</t>
  </si>
  <si>
    <t>02 6 03 9990 0</t>
  </si>
  <si>
    <t>99 0 00 4350 0</t>
  </si>
  <si>
    <t>Муниципальная программа "Укрепление гражданского согласия в г.Казани на 2014 - 2018 годы"</t>
  </si>
  <si>
    <t>Г1 0 00 0000 0</t>
  </si>
  <si>
    <t>Обеспечение горячим питанием отдельных категорий учащихся общеобразовательных школ</t>
  </si>
  <si>
    <t>Подпрограмма "Другие вопросы в области физической культуры и спорта"</t>
  </si>
  <si>
    <t>Подпрограмма "Совершенствование детско-юношеского спорта в г.Казани"</t>
  </si>
  <si>
    <t>Обеспечение текущей деятельности учреждений дополнительного образования спортивной направленности (ДЮСШ), реализующих дополнительные образовательные программы в рамках муниципального задания</t>
  </si>
  <si>
    <t>Основное мероприятие "Развитие системы муниципального управления в области физической культуры и спорта"</t>
  </si>
  <si>
    <t>Основное мероприятие "Развитие учреждений спортивной направленности"</t>
  </si>
  <si>
    <t>Обеспечение текущей деятельности подведомственных учреждений спортивной направленности в рамках муниципального задания</t>
  </si>
  <si>
    <t>Подпрограмма "Другие вопросы в области молодежной политики"</t>
  </si>
  <si>
    <t>99 0 00 2524 0</t>
  </si>
  <si>
    <t>Молодежная политика</t>
  </si>
  <si>
    <t>Подпрограмма "Совершенствование деятельности сети учреждений молодежной политики"</t>
  </si>
  <si>
    <t>Основное мероприятие "Развитие учреждений молодежной политики"</t>
  </si>
  <si>
    <t>Обеспечение текущей деятельности учреждений молодежной политики в рамках муниципального задания</t>
  </si>
  <si>
    <t>Вед</t>
  </si>
  <si>
    <t>801</t>
  </si>
  <si>
    <t>802</t>
  </si>
  <si>
    <t>809</t>
  </si>
  <si>
    <t>810</t>
  </si>
  <si>
    <t>812</t>
  </si>
  <si>
    <t>813</t>
  </si>
  <si>
    <t>814</t>
  </si>
  <si>
    <t>815</t>
  </si>
  <si>
    <t>816</t>
  </si>
  <si>
    <t>817</t>
  </si>
  <si>
    <t>818</t>
  </si>
  <si>
    <t>820</t>
  </si>
  <si>
    <t>821</t>
  </si>
  <si>
    <t>823</t>
  </si>
  <si>
    <t>824</t>
  </si>
  <si>
    <t>825</t>
  </si>
  <si>
    <t>826</t>
  </si>
  <si>
    <t>Сельское хозяйство и рыболовство</t>
  </si>
  <si>
    <t>Государственная программа «Система химической и биологической безопасности Республики Татарстан на 2015 – 2020 годы»</t>
  </si>
  <si>
    <t>28 0 00 0000 0</t>
  </si>
  <si>
    <t>Основное мероприятие «Предупреждение болезней животных и защита населения от болезней общих для человека и животных»</t>
  </si>
  <si>
    <t>28 0 01 0000 0</t>
  </si>
  <si>
    <t>28 0 01 2536 0</t>
  </si>
  <si>
    <t>Государственная программа «Обеспечение качественным жильем и услугами жилищно-коммунального хозяйства населения Республики Татарстан на 2014 – 2020 годы»</t>
  </si>
  <si>
    <t>04 0 00 0000 0</t>
  </si>
  <si>
    <t>Подпрограмма «Реализация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 в 2014 – 2020 годах»</t>
  </si>
  <si>
    <t>04 5 00 0000 0</t>
  </si>
  <si>
    <t>04 5 01 9601 0</t>
  </si>
  <si>
    <t>829</t>
  </si>
  <si>
    <t>844</t>
  </si>
  <si>
    <t>Санитарно-эпидемическое благополучие</t>
  </si>
  <si>
    <t>01 0 00 0000 0</t>
  </si>
  <si>
    <t>01 1 00 0000 0</t>
  </si>
  <si>
    <t>Основное мероприятие «Профилактика инфекционных заболеваний, включая иммунопрофилактику»</t>
  </si>
  <si>
    <t>01 1 02 0000 0</t>
  </si>
  <si>
    <t>01 1 02 0211 0</t>
  </si>
  <si>
    <t>845</t>
  </si>
  <si>
    <t>846</t>
  </si>
  <si>
    <t>850</t>
  </si>
  <si>
    <t>851</t>
  </si>
  <si>
    <t>852</t>
  </si>
  <si>
    <t>853</t>
  </si>
  <si>
    <t>854</t>
  </si>
  <si>
    <t>855</t>
  </si>
  <si>
    <t>99 0 00 4310 0</t>
  </si>
  <si>
    <t>99 0 00 0741 1</t>
  </si>
  <si>
    <t>Обеспечение хранения, учета, комплектования и использования документов архивного фонда и других архивных документов</t>
  </si>
  <si>
    <t>Основное мероприятие "Текущее содержание и ремонт объектов благоустройства"</t>
  </si>
  <si>
    <t>Б1 0 ТС 7802 0</t>
  </si>
  <si>
    <t>Озеленение</t>
  </si>
  <si>
    <t>Б1 0 ТС 7803 0</t>
  </si>
  <si>
    <t>Прочие мероприятия по благоустройству городских округов и поселений</t>
  </si>
  <si>
    <t>Б1 0 ТС 7805 0</t>
  </si>
  <si>
    <t>Основное мероприятие "Текущее содержание и ремонт объектов внешнего благоустройства"</t>
  </si>
  <si>
    <t>М0 0 00 0000 0</t>
  </si>
  <si>
    <t>МО 2 00 0000 0</t>
  </si>
  <si>
    <t>МО 2 03 0000 0</t>
  </si>
  <si>
    <t>МО 2 03 4310 0</t>
  </si>
  <si>
    <t>ФО 0 00 0000 0</t>
  </si>
  <si>
    <t>Основное мероприятие "Проведение районных мероприятий физической культуры и спорта"</t>
  </si>
  <si>
    <t>ФО 2 04 0000 0</t>
  </si>
  <si>
    <t>Проведение районных мероприятий физической культуры и спорта в области массового спорта</t>
  </si>
  <si>
    <t>ФО 2 04 1287 0</t>
  </si>
  <si>
    <t>ФО 2 00 0000 0</t>
  </si>
  <si>
    <t>99 0 00 0203 0</t>
  </si>
  <si>
    <t>Основное мероприятие "Создание устойчиво функционирующей и доступной для всех слоев населения единой системы общественного транспорта"</t>
  </si>
  <si>
    <t>13 4 01 0000 0</t>
  </si>
  <si>
    <t>13 4 01 0537 0</t>
  </si>
  <si>
    <t>Обеспечение содержания муниципального имущества учреждений в надлежащем состоянии, устранение предписаний надзорных органов в рамках целевой субсидии</t>
  </si>
  <si>
    <t>Премия талантливой молодежи в различных отраслях культуры и искусства</t>
  </si>
  <si>
    <t>08 8 03 4400 2</t>
  </si>
  <si>
    <t>Основное мероприятие "Развитие системы муниципального управления в области образования"</t>
  </si>
  <si>
    <t>Подпрограмма «Развитие начального общего образования, основного общего и среднего общего образования"</t>
  </si>
  <si>
    <t>Основное мероприятие "Реализация общего образования"</t>
  </si>
  <si>
    <t>Обеспечение текущей деятельности общеобразовательных учреждений, имеющих интернат, в рамках муниципального задания</t>
  </si>
  <si>
    <t>Обеспечение текущей деятельности учреждений дополнительного образования многопрофильной направленности в рамках муниципального задания</t>
  </si>
  <si>
    <t>Обеспечение текущей деятельности учреждений дополнительного образования художественно-эстетической направленности в рамках муниципального задания</t>
  </si>
  <si>
    <t>Обеспечение текущей деятельности общеобразовательных учреждений в рамках муниципального задания</t>
  </si>
  <si>
    <t>Обеспечение текущей деятельности общеобразовательных учреждений, имеющих межшкольный учебный комбинат, в рамках муниципального задания</t>
  </si>
  <si>
    <t>Основное мероприятие "Проведение общегородских мероприятий в области образования"</t>
  </si>
  <si>
    <t>Основное мероприятие "Развитие и укрепление материально-технической базы учреждений образования"</t>
  </si>
  <si>
    <t>Обеспечение текущей деятельности прочих учреждений образования в рамках муниципального задания</t>
  </si>
  <si>
    <t>ФО 3 00 0000 0</t>
  </si>
  <si>
    <t>Основное мероприятие "Развитие системы муниципального управления в области физкультуры и спорта"</t>
  </si>
  <si>
    <t>ФО 3 01 0000 0</t>
  </si>
  <si>
    <t>ФО 3 01 0204 0</t>
  </si>
  <si>
    <t>ФО 3 01 0295 0</t>
  </si>
  <si>
    <t>ФО 1 00 0000 0</t>
  </si>
  <si>
    <t>ФО 1 01 0000 0</t>
  </si>
  <si>
    <t>ФО 1 01 4233 0</t>
  </si>
  <si>
    <t>ФО 1 02 0000 0</t>
  </si>
  <si>
    <t>ФО 1 02 9990 0</t>
  </si>
  <si>
    <t>ФО 3 01 4520 0</t>
  </si>
  <si>
    <t>ФО 2 01 0000 0</t>
  </si>
  <si>
    <t>ФО 2 01 4820 0</t>
  </si>
  <si>
    <t>ФО 2 02 0000 0</t>
  </si>
  <si>
    <t>ФО 2 02 9990 0</t>
  </si>
  <si>
    <t>ФО 2 03 0000 0</t>
  </si>
  <si>
    <t>ФО 2 03 1287 0</t>
  </si>
  <si>
    <t>МО 0 00 0000 0</t>
  </si>
  <si>
    <t>МО 3 00 0000 0</t>
  </si>
  <si>
    <t>Основное мероприятие "Развитие системы муниципального управления в области молодежной политики"</t>
  </si>
  <si>
    <t>МО 3 01 0000 0</t>
  </si>
  <si>
    <t>МО 3 01 0204 0</t>
  </si>
  <si>
    <t>МО 1 00 0000 0</t>
  </si>
  <si>
    <t>МО 1 01 0000 0</t>
  </si>
  <si>
    <t>МО 1 01 4319 0</t>
  </si>
  <si>
    <t>МО 1 02 0000 0</t>
  </si>
  <si>
    <t>МО 1 02 9990 0</t>
  </si>
  <si>
    <t>МО 2 01 0000 0</t>
  </si>
  <si>
    <t>МО 2 01 4310 0</t>
  </si>
  <si>
    <t>Основное мероприятие "Поддержка талантливой и инициативной молодежи"</t>
  </si>
  <si>
    <t>МО 2 02 0000 0</t>
  </si>
  <si>
    <t>Городские премии талантливой молодежи в различных отраслях науки</t>
  </si>
  <si>
    <t>МО 2 02 4310 0</t>
  </si>
  <si>
    <t>99 0 30 0000 0</t>
  </si>
  <si>
    <t>99 0 30 2990 0</t>
  </si>
  <si>
    <t>Муниципальная программа "Развитие жилищно-коммунального хозяйства города Казани на 2016 - 2018 годы"</t>
  </si>
  <si>
    <t>Ж1 0 00 0000 0</t>
  </si>
  <si>
    <t>Ж1 0 ТС 0000 0</t>
  </si>
  <si>
    <t>Основное мероприятие "Капитальный ремонт объектов жилищно-коммунального хозяйства"</t>
  </si>
  <si>
    <t>Ж1 0 КР 0000 0</t>
  </si>
  <si>
    <t>Ж1 0 КР 7603 0</t>
  </si>
  <si>
    <t>Основное мероприятие "Текущее содержание объектов жилищно-коммунального хозяйства"</t>
  </si>
  <si>
    <t>Мероприятия в области жилищного хозяйства (инвентаризация муниципального жилищного фонда)</t>
  </si>
  <si>
    <t>Ж1 0 ТС 7604 0</t>
  </si>
  <si>
    <t>Содержание кладбищ</t>
  </si>
  <si>
    <t>Б1 0 ТС 7804 0</t>
  </si>
  <si>
    <t>Основное мероприятие "Текущее содержание центрального аппарата"</t>
  </si>
  <si>
    <t>Ж1 0 СА 0000 0</t>
  </si>
  <si>
    <t>Ж1 0 СА 0204 0</t>
  </si>
  <si>
    <t>Б1 0 СА 0000 0</t>
  </si>
  <si>
    <t>Б1 0 СА 0204 0</t>
  </si>
  <si>
    <t>Уличное освещение</t>
  </si>
  <si>
    <t>Б1 0 ТС 7801 0</t>
  </si>
  <si>
    <t>Содержание МКУ "Хозяйственно-транспортное управление города Казани"</t>
  </si>
  <si>
    <t>Муниципальное казенное учреждение «Комитет потребительского рынка Исполнительного комитета муниципального образования города Казани»</t>
  </si>
  <si>
    <t>857</t>
  </si>
  <si>
    <t>Обеспечение мероприятий по капитальному ремонту многоквартирных домов, включенных в состав Республиканской программы проведения капитального ремонта многоквартирных домов</t>
  </si>
  <si>
    <t>99 0 92 0324 0</t>
  </si>
  <si>
    <t>МО 3 01 0295 0</t>
  </si>
  <si>
    <t>Обеспечение текущей деятельности учреждений дошкольного образования в рамках муниципального задания</t>
  </si>
  <si>
    <t>Б1 0 СА 0295 0</t>
  </si>
  <si>
    <t>Ж1 0 СА 0295 0</t>
  </si>
  <si>
    <t>Капитальный ремонт жилищного фонда, не включенный в состав Республиканской программы по капитальному ремонту многоквартирных домов</t>
  </si>
  <si>
    <t>Строительство, содержание и ремонт автомобильных дорог и инженерных сооружений на них в границах городских округов и поселений в рамках благоустройства</t>
  </si>
  <si>
    <t>Г2 0 00 0000 0</t>
  </si>
  <si>
    <t>Основное мероприятие "Реализация государственных функций, связанных с общегосударственным управлением"</t>
  </si>
  <si>
    <t>Г2 0 92 0000 0</t>
  </si>
  <si>
    <t>Диспансеризация лиц, замещающих муниципальные должности, муниципальных служащих, лиц, замещающих должности, не относящиеся к должностям муниципальной службы</t>
  </si>
  <si>
    <t>Г2 0 92 0316 0</t>
  </si>
  <si>
    <t>Содержание МКУ "Организатор пассажирских перевозок"</t>
  </si>
  <si>
    <t>99 0 92 0327 0</t>
  </si>
  <si>
    <t>Содержание МКУ "Организатор городского парковочного пространства"</t>
  </si>
  <si>
    <t>99 0 92 0328 0</t>
  </si>
  <si>
    <t>99 0 92 0329 0</t>
  </si>
  <si>
    <t xml:space="preserve">Таблица 1 </t>
  </si>
  <si>
    <t>Резерв на повышение тарифов по коммунальным услугам</t>
  </si>
  <si>
    <t>99 0 00 2086 0</t>
  </si>
  <si>
    <t>Муниципальная программа "Осуществление контроля над выполнением требований нормативных правовых актов, государственных градостроительных нормативов и правил в области градостроительной деятельности на территории города Казани на 2016 - 2018 годы"</t>
  </si>
  <si>
    <t>К2 0 00 0000 0</t>
  </si>
  <si>
    <t>К2 0 СА 0000 0</t>
  </si>
  <si>
    <t>К2 0 СА 0204 0</t>
  </si>
  <si>
    <t>К2 0 СА 0295 0</t>
  </si>
  <si>
    <t xml:space="preserve">Уплата налога на имущество муниципальных учреждений </t>
  </si>
  <si>
    <t>Водное хозяйство</t>
  </si>
  <si>
    <t>Содержание и ремонт гидротехнических сооружений</t>
  </si>
  <si>
    <t>99 0 00 9043 0</t>
  </si>
  <si>
    <t>Коммунальное хозяйство</t>
  </si>
  <si>
    <t>Мероприятия в области коммунального хозяйства</t>
  </si>
  <si>
    <t>Ж1 0 ТС 7607 0</t>
  </si>
  <si>
    <t>Сбор, удаление отходов и очистка сточных вод</t>
  </si>
  <si>
    <t>Содержание МКУ "Управление административно-технической инспекции ИК МО г.Казани"</t>
  </si>
  <si>
    <t>К1 0 СА 0000 0</t>
  </si>
  <si>
    <t>К1 0 СА 0295 0</t>
  </si>
  <si>
    <t>К1 0 СА 0308 0</t>
  </si>
  <si>
    <t>500</t>
  </si>
  <si>
    <t>К1 0 00 0000 0</t>
  </si>
  <si>
    <t>Муниципальная программа «Осуществление муниципального контроля в сфере благоустройства на территории города Казани на 2016 - 2018 годы»</t>
  </si>
  <si>
    <t>Основное мероприятие "Организация своевременного проведения капитального ремонта общего имущества в многоквартирных домах"</t>
  </si>
  <si>
    <t>04 5 01 0000 0</t>
  </si>
  <si>
    <t>Основное мероприятие "Проведение районных мероприятий для детей и молодежи"</t>
  </si>
  <si>
    <t>Проведение районных мероприятий для детей и молодежи</t>
  </si>
  <si>
    <t>99 0 92 0310 0</t>
  </si>
  <si>
    <t>Муниципальная программа "Профилактика правонарушений и преступлений в г.Казани на 2016 - 2020 годы"</t>
  </si>
  <si>
    <t>Обеспечение деятельности МАУ "Центр помощи "Возрождение"</t>
  </si>
  <si>
    <t>Г6 0 00 0000 0</t>
  </si>
  <si>
    <t>Г6 0 92 0000 0</t>
  </si>
  <si>
    <t>Обеспечение деятельности руководителей и сотрудников опорных пунктов охраны правопорядка</t>
  </si>
  <si>
    <t>Г6 0 92 0323 0</t>
  </si>
  <si>
    <t>Дополнительное образование детей</t>
  </si>
  <si>
    <t>Основное мероприятие "Организация деятельности по профилактике правонарушений и преступлений в г.Казани на 2016 – 2020 годы"</t>
  </si>
  <si>
    <t>Муниципальное казенное учреждение "Управление записи актов гражданского состояния Исполнительного комитета муниципального образования города Казани"</t>
  </si>
  <si>
    <t>842</t>
  </si>
  <si>
    <t xml:space="preserve">Государственная регистрация актов гражданского состояния </t>
  </si>
  <si>
    <t>99 0 00 5930 0</t>
  </si>
  <si>
    <t>Прочие межбюджетные трансферты общего характера</t>
  </si>
  <si>
    <t xml:space="preserve">Молодежная политика </t>
  </si>
  <si>
    <t>99 0 00 0317 0</t>
  </si>
  <si>
    <t>Расходы, осуществляемые за счет средств муниципального дорожного фонда</t>
  </si>
  <si>
    <t>Д1 0 00 0000 0</t>
  </si>
  <si>
    <t xml:space="preserve">Строительство, реконструкция и ремонт (текущий и капитальный) автомобильных дорог </t>
  </si>
  <si>
    <t>Д1 0 00 0365 0</t>
  </si>
  <si>
    <t>Содержание парков и скверов</t>
  </si>
  <si>
    <t>Б1 0 ТС 7807 0</t>
  </si>
  <si>
    <t>Государственная программа "Охрана окружающей среды, воспроизводство и использование природных ресурсов Республики Татарстан на 2014 - 2020 годы"</t>
  </si>
  <si>
    <t>Подпрограмма "Регулирование качества окружающей среды Республики Татарстан на 2014 - 2020 годы"</t>
  </si>
  <si>
    <t>Основное мероприятие "Обеспечение охраны окружающей среды"</t>
  </si>
  <si>
    <t>Мероприятия по охране окружающей среды</t>
  </si>
  <si>
    <t>09 0 00 0000 0</t>
  </si>
  <si>
    <t>09 1 00 0000 0</t>
  </si>
  <si>
    <t>09 1 01 0000 0</t>
  </si>
  <si>
    <t>09 1 01 7446 0</t>
  </si>
  <si>
    <t>Основное мероприятие "Обеспечение необходимых условий для сохранения межконфессионального согласия и гражданского единства"</t>
  </si>
  <si>
    <t>Общегородские мероприятия в социально-культурной сфере</t>
  </si>
  <si>
    <t>Основное мероприятие "Обеспечение паритетного функционирования государственных языков Республики Татарстан в г.Казани"</t>
  </si>
  <si>
    <t>Основное мероприятие "Обеспечение необходимых условий для сохранения и развития языков, культур и традиций народов, проживающих в г.Казани"</t>
  </si>
  <si>
    <t>Г1 0 01 0000 0</t>
  </si>
  <si>
    <t>Г1 0 01 4360 0</t>
  </si>
  <si>
    <t>Г1 0 04 0000 0</t>
  </si>
  <si>
    <t>Г1 0 04 4360 0</t>
  </si>
  <si>
    <t>Г1 0 05 0000 0</t>
  </si>
  <si>
    <t>Г1 0 05 4360 0</t>
  </si>
  <si>
    <t>99 0 00 4402 0</t>
  </si>
  <si>
    <t>Государственная программа «Развитие образования и науки Республики Татарстан на 2014 – 2020 годы»</t>
  </si>
  <si>
    <t>Подпрограмма «Развитие общего образования, включая инклюзивное, и повышение квалификации работников данной сферы на 2014 – 2020 годы»</t>
  </si>
  <si>
    <t>Основное мероприятие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</si>
  <si>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Подпрограмма «Развитие дошкольного образования, включая инклюзивное, и повышение квалификации работников данной сферы на 2014 – 2020 годы»</t>
  </si>
  <si>
    <t>Погашение задолженности по судебным искам</t>
  </si>
  <si>
    <t>99 0 92 0301 0</t>
  </si>
  <si>
    <t>Содержание МКУ "Дирекция по конкурентной политике и закупкам города Казани"</t>
  </si>
  <si>
    <t>99 0 92 0322 0</t>
  </si>
  <si>
    <t>Централизованные средства на содержание муниципальных учреждений</t>
  </si>
  <si>
    <t>99 0 92 0346 0</t>
  </si>
  <si>
    <t>Изготовление и вручение наград города</t>
  </si>
  <si>
    <t>99 0 92 0302 0</t>
  </si>
  <si>
    <t>Образование и организация деятельности административных комиссий</t>
  </si>
  <si>
    <t>99 0 92 0306 0</t>
  </si>
  <si>
    <t>Организация и осуществление деятельности по опеке и попечительству</t>
  </si>
  <si>
    <t>99 0 92 0311 0</t>
  </si>
  <si>
    <t>Содержание МКУ "Казанский городской общественный центр"</t>
  </si>
  <si>
    <t>99 0 92 0325 0</t>
  </si>
  <si>
    <t>12</t>
  </si>
  <si>
    <t>Другие вопросы в области национальной экономике</t>
  </si>
  <si>
    <t>Возмещение части процентной ставки по кредитам уполномоченного банка на поддержку субъектов малого предпринимательства г.Казани</t>
  </si>
  <si>
    <t>Г3 0 00 0000 0</t>
  </si>
  <si>
    <t>Г3 0 92 0000 0</t>
  </si>
  <si>
    <t>Г3 0 92 0334 0</t>
  </si>
  <si>
    <t>Взносы в международные и российские организации</t>
  </si>
  <si>
    <t>99 0 92 0304 0</t>
  </si>
  <si>
    <t>Осуществление государственного контроля и надзора в области долевого строительства многоквартирных домов и (или) иных объектов недвижимости</t>
  </si>
  <si>
    <t>99 0 92 0312 0</t>
  </si>
  <si>
    <t>Мероприятия по землеустройству и землепользованию</t>
  </si>
  <si>
    <t>99 0 34 0030 0</t>
  </si>
  <si>
    <t>99 0 92 0305 0</t>
  </si>
  <si>
    <t>Чествование юбиляров супружеской жизни</t>
  </si>
  <si>
    <t>И1 0 00 0000 0</t>
  </si>
  <si>
    <t>И1 2 01 0000 0</t>
  </si>
  <si>
    <t>И1 2 01 0204 0</t>
  </si>
  <si>
    <t>Муниципальная программа «Развитие информационных технологий и связи в городе Казани "Электронная Казань" на 2017-2019 годы»</t>
  </si>
  <si>
    <t>Подпрограмма «Развитие информационных и телекоммуникационных технологий в органах местного самоуправления г.Казани на 2017-2019 годы»</t>
  </si>
  <si>
    <t>Модернизация и развитие информационных и телекоммуникационных систем</t>
  </si>
  <si>
    <t>И1 2 00 0000 0</t>
  </si>
  <si>
    <t>И1 2 01 0310 0</t>
  </si>
  <si>
    <t>Подпрограмма «Обеспечение полномочий Муниципального бюджетного учреждения "Департамент телекоммуникационных технологий города Казани" на 2017-2019 годы»</t>
  </si>
  <si>
    <t>Основное мероприятие "Обеспечения реализации полномочий муниципального бюджетного учреждения «Департамент телекоммуникационных технологий города Казани»"</t>
  </si>
  <si>
    <t>И1 3 00 0000 0</t>
  </si>
  <si>
    <t>И1 3 01 0000 0</t>
  </si>
  <si>
    <t>И1 3 01 9299 0</t>
  </si>
  <si>
    <t>(тыс. руб.)</t>
  </si>
  <si>
    <t>муниципального образования города Казани на 2018 год</t>
  </si>
  <si>
    <t>Муниципальная программа "Поддержка малого и среднего предпринимательства в г. Казани на 2017 - 2019 годы"</t>
  </si>
  <si>
    <t>Муниципальная программа «Развитие образования в городе Казани на 2018 – 2022 годы»</t>
  </si>
  <si>
    <t>Муниципальная программа "Развитие культуры в городе Казани на 2018 - 2022 годы"</t>
  </si>
  <si>
    <t>Муниципальная программа "Развитие физической культуры и спорта в городе Казани на 2018 - 2022 годы"</t>
  </si>
  <si>
    <t>Муниципальная программа "Развитие молодежной политики в городе Казани на 2018 - 2022 годы"</t>
  </si>
  <si>
    <t>Основное мероприятие "Повышение эффективности деятельности органов местного самоуправления г.Казани за счет повсеместного внедрения и использования информационных технологий, телекоммуникаций и связи и обеспечения требуемого уровня информационной безопасности"</t>
  </si>
  <si>
    <t>Судебная система</t>
  </si>
  <si>
    <t>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t>
  </si>
  <si>
    <t>99 0 00 7930 0</t>
  </si>
  <si>
    <t>Основное мероприятие "Снижение уровня алкоголизации и наркотизации населения г.Казани"</t>
  </si>
  <si>
    <t>Г6 0 93 0000 0</t>
  </si>
  <si>
    <t>Г6 0 93 9299 0</t>
  </si>
  <si>
    <t>И1 2 01 0295 0</t>
  </si>
  <si>
    <t>99 0 92 0338 0</t>
  </si>
  <si>
    <t>Разработка Генерального плана городского округа Казань</t>
  </si>
  <si>
    <t>08 7 04 0000 0</t>
  </si>
  <si>
    <t>08 7 04 9990 0</t>
  </si>
  <si>
    <t>08 7 05 0000 0</t>
  </si>
  <si>
    <t>08 7 05 9990 0</t>
  </si>
  <si>
    <t>Подпрограмма "Гражданско-патриотическое воспитание среди детей и молодежи"</t>
  </si>
  <si>
    <t>Основное мероприятие "Формирование и совершенствование системы патриотического воспитания детей и молодежи"</t>
  </si>
  <si>
    <t>Организация и проведение мероприятий, направленных на патриотическое воспитание детей и молодежи</t>
  </si>
  <si>
    <t>МО 4 00 0000 0</t>
  </si>
  <si>
    <t>МО 4 01 0000 0</t>
  </si>
  <si>
    <t>МО 4 01 4310 0</t>
  </si>
  <si>
    <t>Основное мероприятие "Обеспечение общественной безопасности и антитеррористической защищенности учреждений культуры"</t>
  </si>
  <si>
    <t>Организация и проведение работ по обеспечению антитеррористической защищенности объектов учреждений культуры</t>
  </si>
  <si>
    <t>Основное мероприятие "Обеспечение энергосбережения и повышения энергетической эффективности учреждениями культуры"</t>
  </si>
  <si>
    <t>Реализация мероприятий, направленных на энергосбережение и повышение энергетической эффективности на объектах учреждений культуры</t>
  </si>
  <si>
    <t>08 8 05 0000 0</t>
  </si>
  <si>
    <t>08 8 05 9990 0</t>
  </si>
  <si>
    <t>08 8 06 0000 0</t>
  </si>
  <si>
    <t>08 8 06 9990 0</t>
  </si>
  <si>
    <t>Основное мероприятие "Обеспечение общественной безопасности и антитеррористической защищенности учреждений спортивной направленности "</t>
  </si>
  <si>
    <t xml:space="preserve">Организация и проведение работ по обеспечению антитеррористической защищенности объектов учреждений  спортивной направленности  </t>
  </si>
  <si>
    <t>Предоставление субсидий бюджетным, автономным учреждениям и иным некоммерческим организациям</t>
  </si>
  <si>
    <t>Основное мероприятие "Обеспечение энергосбережения и повышения энергетической эффективности учреждениями  спортивной направленности"</t>
  </si>
  <si>
    <t>Реализация мероприятий, направленных на энергосбережение и повышение энергетической эффективности на объектах учреждений  спортивной направленности</t>
  </si>
  <si>
    <t>ФО 2 05 0000 0</t>
  </si>
  <si>
    <t>ФО 2 05 9990 0</t>
  </si>
  <si>
    <t>ФО 2 06 0000 0</t>
  </si>
  <si>
    <t>ФО 2 06 9990 0</t>
  </si>
  <si>
    <t>99 0 00 5120 0</t>
  </si>
  <si>
    <t>Основное мероприятие "Обеспечение общественной безопасности и антитеррористической защищенности учреждений дополнительного образования спортивной направленности (ДЮСШ)"</t>
  </si>
  <si>
    <t xml:space="preserve">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(ДЮСШ) </t>
  </si>
  <si>
    <t>ФО 1 03 0000 0</t>
  </si>
  <si>
    <t>ФО 1 03 9990 0</t>
  </si>
  <si>
    <t>Основное мероприятие "Обеспечение энергосбережения и повышения энергетической эффективности учреждениями дополнительного образования спортивной направленности (ДЮСШ)"</t>
  </si>
  <si>
    <t>Реализация мероприятий,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(ДЮСШ)</t>
  </si>
  <si>
    <t>ФО 1 04 0000 0</t>
  </si>
  <si>
    <t>ФО 1 04 9990 0</t>
  </si>
  <si>
    <t>МО 1 03 0000 0</t>
  </si>
  <si>
    <t>МО 1 03 9990 0</t>
  </si>
  <si>
    <t>МО 1 04 0000 0</t>
  </si>
  <si>
    <t>МО 1 04 9990 0</t>
  </si>
  <si>
    <t>Основное мероприятие "Обеспечение общественной безопасности и антитеррористической защищенности учреждений молодежной политики"</t>
  </si>
  <si>
    <t>Организация и проведение работ по обеспечению антитеррористической защищенности объектов учреждений молодежной политики</t>
  </si>
  <si>
    <t>Основное мероприятие "Обеспечение энергосбережения и повышения энергетической эффективности учреждениями молодежной политики"</t>
  </si>
  <si>
    <t>Реализация мероприятий, направленных на энергосбережение и повышение энергетической эффективности на объектах учреждений молодежной политики</t>
  </si>
  <si>
    <t>И1 1 00 0000 0</t>
  </si>
  <si>
    <t>И1 1 03 0000 0</t>
  </si>
  <si>
    <t>И1 1 03 9299 0</t>
  </si>
  <si>
    <t>И1 1 04 0000 0</t>
  </si>
  <si>
    <t>И1 1 04 9299 0</t>
  </si>
  <si>
    <t>Основное мероприятие "Развитие видеонаблюдения на объектах социальной сферы, находящихся в муниципальной собственности"</t>
  </si>
  <si>
    <t>Подпрограмма "Построение и развитие аппаратно-программного комплекса "Безопасный город" на 2017-2019 годы"</t>
  </si>
  <si>
    <t>Основное мероприятие "Повышение безопасности на объектах социальной сферы, находящихся в муниципальной собственности"</t>
  </si>
  <si>
    <t>Р1 0 СА 0204 0</t>
  </si>
  <si>
    <t>Р1 0 00 0000 0</t>
  </si>
  <si>
    <t>Р1 0 СА 0000 0</t>
  </si>
  <si>
    <t>Р1 0 СА 0295 0</t>
  </si>
  <si>
    <t>Р1 0 ПД 0000 0</t>
  </si>
  <si>
    <t>Р1 0 ПД 0310 0</t>
  </si>
  <si>
    <t>Муниципальная программа "Развитие сферы наружной рекламы и информации на территории города Казани в 2018-2020 годах"</t>
  </si>
  <si>
    <t>Основное мероприятие "Обеспечение оперативного принудительного демонтажа незаконно размещаемых рекламных конструкций"</t>
  </si>
  <si>
    <t>Принудительный демонтаж незаконно размещаемых рекламных конструкций</t>
  </si>
  <si>
    <t>02 2 02 4210 1</t>
  </si>
  <si>
    <t>Обеспечение временной занятости учащихся общеобразовательных учреждений г.Казани в летнее время</t>
  </si>
  <si>
    <t>02 6 04 0000 0</t>
  </si>
  <si>
    <t>02 6 04 9990 0</t>
  </si>
  <si>
    <t>02 6 05 0000 0</t>
  </si>
  <si>
    <t>02 6 05 9990 0</t>
  </si>
  <si>
    <t>02 7 00 0000 0</t>
  </si>
  <si>
    <t>99 0 00 2110 0</t>
  </si>
  <si>
    <t>Организация и проведение работ по обеспечению антитеррористической защищенности объектов учреждений образования</t>
  </si>
  <si>
    <t>Реализация мероприятий, направленных на энергосбережение и повышение энергетической эффективности на объектах учреждений образования</t>
  </si>
  <si>
    <t>Подпрограмма "Совершенствование организации питания в учреждениях образования"</t>
  </si>
  <si>
    <t>02 7 01 0000 0</t>
  </si>
  <si>
    <t>02 7 01 9990 0</t>
  </si>
  <si>
    <t>Создание условий для обеспечения качественной организации питания в учреждениях образования</t>
  </si>
  <si>
    <t>Резерв по фонду оплаты труда работников учреждений социально-культурной сферы</t>
  </si>
  <si>
    <t>Основное мероприятие "Обеспечение общественной безопасности и антитеррористической защищенности учреждений образования"</t>
  </si>
  <si>
    <t>Основное мероприятие "Обеспечение энергосбережения и повышения энергетической эффективности учреждений образования"</t>
  </si>
  <si>
    <t>Основное мероприятие "Реализация мероприятий, направленных на совершенствование организации питания в учреждениях образования"</t>
  </si>
  <si>
    <t>Другие вопросы в области национальной экономики</t>
  </si>
  <si>
    <t>Содержание МКУ "Автоматизированная система управления дорожным движением" в г.Казани</t>
  </si>
  <si>
    <t>Муниципальная программа "Развитие муниципальной службы в муниципальном образовании городе Казани на 2014 - 2019 годы"</t>
  </si>
  <si>
    <t>99 0 92 0326 0</t>
  </si>
  <si>
    <t>Содержание МКУ "Комитет по развитию туризма г.Казани"</t>
  </si>
  <si>
    <t>И1 1 01 0000 0</t>
  </si>
  <si>
    <t>Основное мероприятие «Развитие видеонаблюдения на общественных пространствах, парках и скверах, местах выражения общественного мнения»</t>
  </si>
  <si>
    <t>И1 1 01 9299 0</t>
  </si>
  <si>
    <t>Обеспечение текущей деятельности учреждений дополнительного образования, реализующих образовательные программы в области искусств, в рамках муниципального задания</t>
  </si>
  <si>
    <t>Подпрограмма "Развитие системы учреждений дополнительного образования, реализующих образовательные программы в области искусств"</t>
  </si>
  <si>
    <t>Государственная регистрация актов гражданского состояния (за счет средств г.Казани)</t>
  </si>
  <si>
    <t>Основное мероприятие "Обеспечение общественной безопасности и антитеррористической защищенности учреждений дополнительного образования,  реализующих образовательные программы в области искусств"</t>
  </si>
  <si>
    <t>Организация и проведение работ по обеспечению антитеррористической защищенности объектов учреждений дополнительного образования,  реализующих образовательные программы в области искусств</t>
  </si>
  <si>
    <t>Основное мероприятие "Обеспечение энергосбережения и повышения энергетической эффективности учреждениями дополнительного образования, реализующих образовательные программы в области искусств"</t>
  </si>
  <si>
    <t>Реализация мероприятий, направленных на энергосбережение и повышение энергетической эффективности на объектах учреждений дополнительного образования, реализующих образовательные программы в области искусств</t>
  </si>
  <si>
    <t>Основное мероприятие "Введение новых форм организации питания в общеобразовательных учреждениях"</t>
  </si>
  <si>
    <t>02 7 02 0000 0</t>
  </si>
  <si>
    <t>Основное  мероприятие "Предоставление мер социальной поддержки отдельным категориям граждан"</t>
  </si>
  <si>
    <t>Доплаты гражданам, взявших на воспитание детей в приемную семью</t>
  </si>
  <si>
    <t>Компенсационные выплаты  гражданам, имеющих детей, посещающих дошкольные образовательные учреждения</t>
  </si>
  <si>
    <t>02 6 06 0000 0</t>
  </si>
  <si>
    <t>02 6 06 5410 0</t>
  </si>
  <si>
    <t>02 6 06 5410 1</t>
  </si>
  <si>
    <t>02 7 02 0551 0</t>
  </si>
  <si>
    <t>Мероприятия по регулированию качества окружающей среды</t>
  </si>
  <si>
    <t>Б1 0 ТС 1910 0</t>
  </si>
  <si>
    <t>99 0 00 7805 0</t>
  </si>
  <si>
    <t>И1 2 01 0310 1</t>
  </si>
  <si>
    <t>Прочие расходы в рамках модернизации и развития информационных и телекоммуникационных систем</t>
  </si>
  <si>
    <t>Реализация работ по капитальному ремонту, строительству и реконструкции на административных объектах</t>
  </si>
  <si>
    <t>99 0 92 0332 0</t>
  </si>
  <si>
    <t>Бюджетные инвестиции местных бюджетов</t>
  </si>
  <si>
    <t>99 0 00 7531 0</t>
  </si>
  <si>
    <t>400</t>
  </si>
  <si>
    <t>Капитальные вложения в объекты государственной (муниципальной) собственности</t>
  </si>
  <si>
    <t>99 0 92 0330 0</t>
  </si>
  <si>
    <t>Предупреждение и ликвидация последствий чрезвычайных ситуаций и стихийных бедствий природного и техногенного характера</t>
  </si>
  <si>
    <t>99 0 92 0344 0</t>
  </si>
  <si>
    <t>О проведении работ по актуализации схемы теплоснабжения г.Казани</t>
  </si>
  <si>
    <t>Государственная программа "Обеспечение качественным жильем и услугами жилищно-коммунального хозяйства населения Республики Татарстан на 2014 - 2020 годы"</t>
  </si>
  <si>
    <t>Подпрограмма "Развитие социальной и инженерной инфраструктуры в рамках государственной программы "Обеспечение качественным жильем и услугами жилищно коммунального хозяйства населения Республики Татарстан на 2014 - 2020 годы"</t>
  </si>
  <si>
    <t>04 К 00 0000 0</t>
  </si>
  <si>
    <t>Бюджетные инвестиции и капитальный ремонт социальной и инженерной инфраструктуры государственной (муниципальной) собственности Республики Татарстан</t>
  </si>
  <si>
    <t>04 К 00 7231 0</t>
  </si>
  <si>
    <t>Дополнительные меры социальной поддержки отдельным категориям граждан, имеющим детей, посещающим дошкольные образовательные учреждения</t>
  </si>
  <si>
    <t>02 6 06 5410 2</t>
  </si>
  <si>
    <t>Основное мероприятие "Капитальные вложения"</t>
  </si>
  <si>
    <t>Б1 0 КВ 0000 0</t>
  </si>
  <si>
    <t>Строительство и реконструкция улично-дорожной сети</t>
  </si>
  <si>
    <t>Б1 0 КВ 7802 0</t>
  </si>
  <si>
    <t>Б 1 0 КР 7802 0</t>
  </si>
  <si>
    <t>Улично-дорожная сеть</t>
  </si>
  <si>
    <t>Основное мероприятие "Капитальный ремонт объектов внешнего благоустройства"</t>
  </si>
  <si>
    <t>Б 1 0 КР 0000 0</t>
  </si>
  <si>
    <t xml:space="preserve">                       от _______2018  №___</t>
  </si>
  <si>
    <t>Снос домов полностью отселенных в рамках реализации Программы по переселению граждан из аварийного жилищного фонда г.Казани</t>
  </si>
  <si>
    <t>99 0 35 0030 0</t>
  </si>
  <si>
    <t>Общегородские мероприятия</t>
  </si>
  <si>
    <t>99 0 00 4360 0</t>
  </si>
  <si>
    <t>Прочие мероприятия в области жилищного хозяйства</t>
  </si>
  <si>
    <t>Ж1 0 ТС 7606 0</t>
  </si>
  <si>
    <t>Повышение защищености населения, территории и объектов инфраструктуры г.Казани от чрезвычайных ситуаций природного и техногенного характера</t>
  </si>
  <si>
    <t>99 0 92 0307 0</t>
  </si>
  <si>
    <t>Защита населения и территории от чрезвычайных ситуаций природного и техногенного характера, гражданская оборона</t>
  </si>
  <si>
    <t>Образование и организация деятельности комиссий по делам несовершеннолетних и защите их прав</t>
  </si>
  <si>
    <t>99 0 92 0309 0</t>
  </si>
  <si>
    <t>Муниципальная программа «О кадровом обеспечении системы здравоохранения г.Казани на 2014-2022 годы»</t>
  </si>
  <si>
    <t>Г7 0 00 0000 0</t>
  </si>
  <si>
    <t>Основное мероприятие «Предоставление субсидий образовательным организациям высшего медицинского образования, осуществляющим обучение студентов (зачисление поступающих) по договорам об оказании платных образовательных услуг, обучаемых или зачисляемых по направлению Исполнительного комитета г.Казани на основании конкурсного отбора»</t>
  </si>
  <si>
    <t>Г7 0 КО 0000 0</t>
  </si>
  <si>
    <t>Кадровое обеспечение системы здравоохранения г.Казани</t>
  </si>
  <si>
    <t>Г7 0 КО 0310 0</t>
  </si>
  <si>
    <t>Выполнение проектно-изыскательских работ объекта культурного наследия "Доходный дом"</t>
  </si>
  <si>
    <t>99 0 92 0316 0</t>
  </si>
  <si>
    <t>Создание (развитие) и внедрение АПК "Безопасный город на территории г.Казани</t>
  </si>
  <si>
    <t>99 0 92 0313 0</t>
  </si>
  <si>
    <t>Реализация мероприятий по развитию городского парковочного пространства</t>
  </si>
  <si>
    <t>99 0 92 0334 0</t>
  </si>
  <si>
    <t>Заместитель Главы</t>
  </si>
  <si>
    <t>Л.Н.Андреева</t>
  </si>
  <si>
    <t>99 0 00 9960 0</t>
  </si>
  <si>
    <t>Основное мероприятие "Текущее содержание и ремонт объектов внешнего  благоустройства"</t>
  </si>
  <si>
    <t>Государственная программа «Экономическое развитие и инновационная экономика Республики Татарстан на 2014 – 2020 годы»</t>
  </si>
  <si>
    <t>Подпрограмма «Совершенствование государственной экономической политики в Республике Татарстан на 2014 – 2020 годы»</t>
  </si>
  <si>
    <t>Основное мероприятие «Повышение эффективности государственного управления, создание условий для развития инновационной деятельности и промышленного производства»</t>
  </si>
  <si>
    <t>Мероприятия, направленные на развитие системы территориального общественного самоуправления Республики Татарстан</t>
  </si>
  <si>
    <t>11 0 00 0000 0</t>
  </si>
  <si>
    <t>11 1 00 0000 0</t>
  </si>
  <si>
    <t>11 1 01 0000 0</t>
  </si>
  <si>
    <t>11 1 01 2518 0</t>
  </si>
  <si>
    <t>Государственная программа "Развитие молодежной политики, физической культуры и спорта в Республике Татарстан на 2014 - 2020 годы"</t>
  </si>
  <si>
    <t>Подпрограмма "Подготовка к проведению в 2018 году чемпионата мира по футболу"</t>
  </si>
  <si>
    <t>Реализация мероприятий по подготовке к проведению чемпионата мира по футболу FIFA 2018 года в г.Казани в области транспортного обеспечения</t>
  </si>
  <si>
    <t>Государственная программа "Развитие рынка газомоторного топлива в Республике Татарстан на 2013 - 2023 годы"</t>
  </si>
  <si>
    <t>Основное мероприятие "Обеспечение устойчивого снижения уровня негативного воздействия автомобильного транспорта на окружающую среду и здоровье населения и достижение наибольшей экономической эффективности перевозок автотранспортными средствами"</t>
  </si>
  <si>
    <t>Приобретение автобусов и техники, работающих на газомоторном топливе</t>
  </si>
  <si>
    <t>10 0 00 0000 0</t>
  </si>
  <si>
    <t>10 Ф 00 0000 0</t>
  </si>
  <si>
    <t>10 Ф 01 0318 0</t>
  </si>
  <si>
    <t>23 0 00 0000 0</t>
  </si>
  <si>
    <t>23 0 01 0000 0</t>
  </si>
  <si>
    <t>23 0 01 7174 0</t>
  </si>
  <si>
    <t>Подпрограмма «Развитие системы государственного управления отрасли на 2014 – 2020 годы»</t>
  </si>
  <si>
    <t>Основное мероприятие «Обеспечение реализации государственной политики и регулирования отношений в сфере культуры, искусства, кинематографии, охраны и использования объектов культурного наследия»</t>
  </si>
  <si>
    <t>Мероприятия в сфере культуры и кинематографии</t>
  </si>
  <si>
    <t>08 Ж 00 0000 0</t>
  </si>
  <si>
    <t>08 Ж 01 0000 0</t>
  </si>
  <si>
    <t>08 Ж 01 4410 0</t>
  </si>
  <si>
    <t>Проведение операционной деятельности на территории, прилегающей к стадиону "Казань - Арена", в дни проведения матчей чемпионата мира по футболу FIFA 2018 года</t>
  </si>
  <si>
    <t>99 0 92 0317 0</t>
  </si>
  <si>
    <t>Подпрограмма "Организация отдыха детей и молодежи, их оздоровления и занятости на 2014 – 2020 годы"</t>
  </si>
  <si>
    <t>Основное мероприятие "Создание условий для организации отдыха детей и молодежи, их оздоровления, обеспечение их занятости и повышение оздоровительного эффекта"</t>
  </si>
  <si>
    <t>Мероприятия по организации отдыха, оздоровления, занятости детей и молодежи за счет средств бюджета Республики Татарстан</t>
  </si>
  <si>
    <t>10 2 00 0000 0</t>
  </si>
  <si>
    <t>10 2 01 0000 0</t>
  </si>
  <si>
    <t xml:space="preserve">10 2 01 2132 0 </t>
  </si>
  <si>
    <t>10 2 01 2132 0</t>
  </si>
  <si>
    <t>Мероприятия по организации отдыха, оздоровления, занятости детей и молодежи за счет остатков средств бюджета Республики Татарстан на начало года</t>
  </si>
  <si>
    <t xml:space="preserve">10 2 01 2133 0 </t>
  </si>
  <si>
    <t>10 2 01 2133 0</t>
  </si>
  <si>
    <t>Основное мероприятие "Модернизация системы общего образования, проведение мероприятий в области образования"</t>
  </si>
  <si>
    <t>Проведение мероприятий для детей и молодежи</t>
  </si>
  <si>
    <t>02 2 09 0000 0</t>
  </si>
  <si>
    <t>02 2 09 4360 0</t>
  </si>
  <si>
    <t>Мероприятия, направленные на развитие образования в Республике Татарстан</t>
  </si>
  <si>
    <t>02 2 09 2111 0</t>
  </si>
  <si>
    <t>Подпрограмма "Развитие физической культуры и спорта в Республике Татарстан на 2014 – 2020 годы"</t>
  </si>
  <si>
    <t>Основное мероприятие "Реализация государственной политики в области физической культуры и спорта в Республике Татарстан"</t>
  </si>
  <si>
    <t>Развитие детско-юношеского спорта</t>
  </si>
  <si>
    <t>10 1 00 0000 0</t>
  </si>
  <si>
    <t>10 1 01 0000 0</t>
  </si>
  <si>
    <t>10 1 01 4365 0</t>
  </si>
  <si>
    <t>99 0 92 0333 0</t>
  </si>
  <si>
    <t>Ж1 0 ТС 7605 0</t>
  </si>
  <si>
    <t>Текущий ремонт жилищного фонда</t>
  </si>
  <si>
    <t>Подпрограмма "Государственное управление в сфере обращения отходов производства и потребления в Республике Татарстан на 2014-2015 годы"</t>
  </si>
  <si>
    <t>Основное мероприятие "Предотвращение и ликвидация последствий загрязнения и иного негативного воздействия на окружающую среду"</t>
  </si>
  <si>
    <t>Реализация мероприятий в области обращения с отходами производства и потребления</t>
  </si>
  <si>
    <t>09 2 00 0000 0</t>
  </si>
  <si>
    <t>09 2 01 0000 0</t>
  </si>
  <si>
    <t>09 2 01 1920 0</t>
  </si>
  <si>
    <t>Ликвидация объектов накопленного экологического ущерба</t>
  </si>
  <si>
    <t>09 2 01 1922 0</t>
  </si>
  <si>
    <t>Другие вопросы в области жилищно-коммунального хозяйства</t>
  </si>
  <si>
    <t>Подпрограмма "Развитие социальной и инженерной инфраструктуры в рамках государственной программы "Развитие культуры Республики Татарстан на 2014-2020 годы"</t>
  </si>
  <si>
    <t>08 К 00 0000 0</t>
  </si>
  <si>
    <t>08 К 00 7231 0</t>
  </si>
  <si>
    <t>Подпрограмма "Развитие социальной и инженерной инфраструктуры в рамках государственной программы "Развитие молодежной политики, физической культуры и спорта в Республике Татарстан на 2014 - 2020 годы"</t>
  </si>
  <si>
    <t>10 К 00 0000 0</t>
  </si>
  <si>
    <t>10 К 00 7231 0</t>
  </si>
  <si>
    <t>На капитальный ремонт автомашин, обслуживающих улично-дорожную сеть в г.Казани</t>
  </si>
  <si>
    <t>99 0 00 9990 0</t>
  </si>
  <si>
    <t>Б1 0 КВ 7805 0</t>
  </si>
  <si>
    <t>Субсидия некоммерческим организациям на финансовое обеспечение (возмещение) затрат, связанных с деятельностью исторического парка «Россия-Моя история»</t>
  </si>
  <si>
    <t>Совершенствование системы расселения, застройки, развитие инженерной, транспортной инфраструктуры</t>
  </si>
  <si>
    <t>11 1 01 7232 0</t>
  </si>
  <si>
    <t>10 Ф 00 0318 0</t>
  </si>
  <si>
    <t xml:space="preserve"> Инвентаризация бесхозных сетей газоснабжения </t>
  </si>
  <si>
    <t>99 0 92 0350 0</t>
  </si>
  <si>
    <t>99 0 92 0337 0</t>
  </si>
  <si>
    <t>99 0 92 0340 0</t>
  </si>
  <si>
    <t>Подпрограмма "Развитие профессионального и послевузовского образования и повышение квалификации работников данной сферы на 2014-2020 годы</t>
  </si>
  <si>
    <t>02 4 00 0000 0</t>
  </si>
  <si>
    <t>Основное мероприятие "Модернизация системы профессионального образования, проведение мероприятий в области образования"</t>
  </si>
  <si>
    <t>02 4 03 0000 0</t>
  </si>
  <si>
    <t>Мороприятия, направленные на развитие образования в Республике Татарстан</t>
  </si>
  <si>
    <t>02 4 03 2111 0</t>
  </si>
  <si>
    <t>Подпрограмма "Развитие социальной и инженерной инфраструктуры в рамках государственной программы "Развитие образования и науки Республики Татарстан на 2014 - 2025 годы"</t>
  </si>
  <si>
    <t>02 К 00 0000 0</t>
  </si>
  <si>
    <t>02 К 00 7231 0</t>
  </si>
  <si>
    <t>Оснащение учебным оборудованием муниципальных общеобразовательных учреждений г.Казани за счет средств Республики Татарстан</t>
  </si>
  <si>
    <t>Поощрение победителей и призеров конкурса "Лучшее оформление новогодней елки среди муниципальных образований Республики Татарстан</t>
  </si>
  <si>
    <t xml:space="preserve">                       Приложение №3</t>
  </si>
  <si>
    <t>Реализация государственных полномочий в сфере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t>
  </si>
  <si>
    <t>99 0 00 0551 0</t>
  </si>
  <si>
    <t>Б1 0 КР 0000 0</t>
  </si>
  <si>
    <t>Б1 0 КР 7805 0</t>
  </si>
  <si>
    <t>Б1 0 КВ 7801 0</t>
  </si>
  <si>
    <t>Подготовка топографической съемки, разработка проектов планировки и межевания территории, проведение землеустроительных и кадастровых работ в целях формирования земельных участков для предоставления многодетным семьям г.Казани</t>
  </si>
  <si>
    <t>99 0 92 0335 0</t>
  </si>
  <si>
    <t>Развитие жилищно-коммунального хозяйства города Казани</t>
  </si>
  <si>
    <t>99 Ж 00 0000 0</t>
  </si>
  <si>
    <t>Капитальный ремонт объектов жилищно-коммунального хозяйства</t>
  </si>
  <si>
    <t>99 Ж КР 0000 0</t>
  </si>
  <si>
    <t>Капитальный ремонт жилищного фонда, не включенный в состав республиканской программы по капитальному ремонту многоквартирных домов</t>
  </si>
  <si>
    <t>99 Ж КР 7603 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</si>
</sst>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4" x14ac:knownFonts="1">
    <font>
      <sz val="10"/>
      <name val="Arial Cyr"/>
      <charset val="204"/>
    </font>
    <font>
      <sz val="11"/>
      <name val="Times New Roman"/>
      <family val="1"/>
      <charset val="204"/>
    </font>
    <font>
      <b/>
      <sz val="14"/>
      <name val="Times New Roman"/>
      <family val="1"/>
      <charset val="204"/>
    </font>
    <font>
      <b/>
      <sz val="11"/>
      <name val="Times New Roman"/>
      <family val="1"/>
      <charset val="204"/>
    </font>
    <font>
      <sz val="11"/>
      <name val="Times New Roman"/>
      <family val="1"/>
    </font>
    <font>
      <b/>
      <sz val="11"/>
      <name val="Times New Roman"/>
      <family val="1"/>
    </font>
    <font>
      <sz val="11"/>
      <color indexed="8"/>
      <name val="Times New Roman"/>
      <family val="1"/>
      <charset val="204"/>
    </font>
    <font>
      <b/>
      <sz val="11"/>
      <color indexed="8"/>
      <name val="Times New Roman"/>
      <family val="1"/>
      <charset val="204"/>
    </font>
    <font>
      <sz val="12"/>
      <name val="Times New Roman"/>
      <family val="1"/>
      <charset val="204"/>
    </font>
    <font>
      <b/>
      <sz val="12"/>
      <name val="Times New Roman"/>
      <family val="1"/>
    </font>
    <font>
      <sz val="11"/>
      <color theme="1"/>
      <name val="Times New Roman"/>
      <family val="1"/>
      <charset val="204"/>
    </font>
    <font>
      <sz val="11"/>
      <color rgb="FF000000"/>
      <name val="Times New Roman"/>
      <family val="1"/>
      <charset val="204"/>
    </font>
    <font>
      <sz val="10"/>
      <name val="Arial Cyr"/>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98">
    <xf numFmtId="0" fontId="0" fillId="0" borderId="0" xfId="0"/>
    <xf numFmtId="0" fontId="1" fillId="0" borderId="0" xfId="0" applyFont="1" applyFill="1" applyAlignment="1">
      <alignment horizontal="justify" vertical="top"/>
    </xf>
    <xf numFmtId="0" fontId="1" fillId="0" borderId="0" xfId="0" applyFont="1" applyFill="1" applyAlignment="1">
      <alignment vertical="top"/>
    </xf>
    <xf numFmtId="49" fontId="1" fillId="0" borderId="0" xfId="0" applyNumberFormat="1" applyFont="1" applyFill="1" applyAlignment="1">
      <alignment horizontal="center" vertical="top"/>
    </xf>
    <xf numFmtId="0" fontId="1" fillId="0" borderId="0" xfId="0" applyFont="1" applyFill="1" applyAlignment="1">
      <alignment horizontal="right" vertical="top"/>
    </xf>
    <xf numFmtId="0" fontId="1" fillId="0" borderId="0" xfId="0" applyFont="1" applyFill="1" applyAlignment="1">
      <alignment horizontal="center" vertical="top"/>
    </xf>
    <xf numFmtId="0" fontId="3" fillId="0" borderId="0" xfId="0" applyFont="1" applyFill="1" applyAlignment="1">
      <alignment horizontal="justify" vertical="top" wrapText="1"/>
    </xf>
    <xf numFmtId="49" fontId="3" fillId="0" borderId="0" xfId="0" applyNumberFormat="1" applyFont="1" applyFill="1" applyAlignment="1">
      <alignment horizontal="center" vertical="top" wrapText="1"/>
    </xf>
    <xf numFmtId="164" fontId="1" fillId="0" borderId="0" xfId="0" applyNumberFormat="1" applyFont="1" applyFill="1" applyAlignment="1">
      <alignment horizontal="right" vertical="top"/>
    </xf>
    <xf numFmtId="0" fontId="1" fillId="0" borderId="0" xfId="0" applyFont="1" applyFill="1" applyAlignment="1">
      <alignment horizontal="justify" vertical="top" wrapText="1"/>
    </xf>
    <xf numFmtId="49" fontId="1" fillId="0" borderId="0" xfId="0" applyNumberFormat="1" applyFont="1" applyFill="1" applyAlignment="1">
      <alignment horizontal="center" vertical="top" wrapText="1"/>
    </xf>
    <xf numFmtId="49" fontId="1" fillId="0" borderId="0" xfId="0" applyNumberFormat="1" applyFont="1" applyFill="1" applyAlignment="1">
      <alignment vertical="top" wrapText="1"/>
    </xf>
    <xf numFmtId="49" fontId="3" fillId="0" borderId="0" xfId="0" applyNumberFormat="1" applyFont="1" applyFill="1" applyAlignment="1">
      <alignment horizontal="center" vertical="top"/>
    </xf>
    <xf numFmtId="49" fontId="1" fillId="0" borderId="0" xfId="0" applyNumberFormat="1" applyFont="1" applyFill="1" applyAlignment="1">
      <alignment vertical="top"/>
    </xf>
    <xf numFmtId="0" fontId="3" fillId="0" borderId="0" xfId="0" applyFont="1" applyFill="1" applyAlignment="1">
      <alignment horizontal="justify" vertical="top"/>
    </xf>
    <xf numFmtId="164" fontId="1" fillId="0" borderId="0" xfId="0" applyNumberFormat="1" applyFont="1" applyFill="1" applyAlignment="1">
      <alignment horizontal="right" vertical="top" wrapText="1"/>
    </xf>
    <xf numFmtId="0" fontId="3" fillId="0" borderId="0" xfId="0" applyFont="1" applyFill="1" applyAlignment="1">
      <alignment horizontal="center" vertical="top"/>
    </xf>
    <xf numFmtId="0" fontId="3" fillId="0" borderId="0" xfId="0" applyFont="1" applyFill="1" applyAlignment="1">
      <alignment horizontal="center" vertical="top" wrapText="1"/>
    </xf>
    <xf numFmtId="0" fontId="4" fillId="0" borderId="0" xfId="0" applyFont="1" applyFill="1" applyAlignment="1">
      <alignment horizontal="justify" vertical="top" wrapText="1"/>
    </xf>
    <xf numFmtId="49" fontId="4" fillId="0" borderId="0" xfId="0" applyNumberFormat="1" applyFont="1" applyFill="1" applyAlignment="1">
      <alignment horizontal="center" vertical="top"/>
    </xf>
    <xf numFmtId="0" fontId="4" fillId="0" borderId="0" xfId="0" applyFont="1" applyFill="1" applyAlignment="1">
      <alignment horizontal="justify" vertical="top"/>
    </xf>
    <xf numFmtId="0" fontId="5" fillId="0" borderId="0" xfId="0" applyFont="1" applyFill="1" applyAlignment="1">
      <alignment horizontal="justify" vertical="top" wrapText="1"/>
    </xf>
    <xf numFmtId="49" fontId="5" fillId="0" borderId="0" xfId="0" applyNumberFormat="1" applyFont="1" applyFill="1" applyAlignment="1">
      <alignment horizontal="center" vertical="top"/>
    </xf>
    <xf numFmtId="49" fontId="4" fillId="0" borderId="0" xfId="0" applyNumberFormat="1" applyFont="1" applyFill="1" applyAlignment="1">
      <alignment horizontal="center" vertical="top" wrapText="1"/>
    </xf>
    <xf numFmtId="0" fontId="4" fillId="0" borderId="0" xfId="0" applyFont="1" applyFill="1" applyAlignment="1">
      <alignment vertical="top"/>
    </xf>
    <xf numFmtId="0" fontId="5" fillId="0" borderId="0" xfId="0" applyFont="1" applyFill="1" applyAlignment="1">
      <alignment horizontal="justify" vertical="top"/>
    </xf>
    <xf numFmtId="49" fontId="5" fillId="0" borderId="0" xfId="0" applyNumberFormat="1" applyFont="1" applyFill="1" applyAlignment="1">
      <alignment horizontal="center" vertical="top" wrapText="1"/>
    </xf>
    <xf numFmtId="0" fontId="5" fillId="0" borderId="0" xfId="0" applyFont="1" applyFill="1" applyAlignment="1">
      <alignment vertical="top"/>
    </xf>
    <xf numFmtId="164" fontId="4" fillId="0" borderId="0" xfId="0" applyNumberFormat="1" applyFont="1" applyFill="1" applyAlignment="1">
      <alignment vertical="top"/>
    </xf>
    <xf numFmtId="0" fontId="5" fillId="0" borderId="0" xfId="0" applyFont="1" applyFill="1" applyBorder="1" applyAlignment="1">
      <alignment horizontal="center" vertical="top"/>
    </xf>
    <xf numFmtId="164" fontId="4" fillId="0" borderId="0" xfId="0" applyNumberFormat="1" applyFont="1" applyFill="1" applyAlignment="1">
      <alignment horizontal="right" vertical="top" wrapText="1"/>
    </xf>
    <xf numFmtId="164" fontId="1" fillId="0" borderId="0" xfId="0" applyNumberFormat="1" applyFont="1" applyFill="1" applyAlignment="1">
      <alignment vertical="top" wrapText="1"/>
    </xf>
    <xf numFmtId="164" fontId="1" fillId="0" borderId="0" xfId="0" applyNumberFormat="1" applyFont="1" applyFill="1" applyAlignment="1">
      <alignment vertical="top"/>
    </xf>
    <xf numFmtId="164" fontId="3" fillId="0" borderId="0" xfId="0" applyNumberFormat="1" applyFont="1" applyFill="1" applyAlignment="1">
      <alignment vertical="top"/>
    </xf>
    <xf numFmtId="0" fontId="5" fillId="0" borderId="1" xfId="0"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0" fontId="3" fillId="0" borderId="0" xfId="0" applyFont="1" applyFill="1" applyAlignment="1">
      <alignment vertical="top"/>
    </xf>
    <xf numFmtId="0" fontId="2" fillId="0" borderId="0" xfId="0" applyFont="1" applyFill="1" applyAlignment="1">
      <alignment vertical="top"/>
    </xf>
    <xf numFmtId="0" fontId="1" fillId="0" borderId="0" xfId="0" applyFont="1" applyFill="1" applyBorder="1" applyAlignment="1">
      <alignment horizontal="justify" vertical="top"/>
    </xf>
    <xf numFmtId="49" fontId="1" fillId="0" borderId="0" xfId="0" applyNumberFormat="1" applyFont="1" applyFill="1" applyBorder="1" applyAlignment="1">
      <alignment horizontal="center" vertical="top"/>
    </xf>
    <xf numFmtId="164" fontId="1" fillId="0" borderId="0" xfId="0" applyNumberFormat="1" applyFont="1" applyFill="1" applyBorder="1" applyAlignment="1">
      <alignment vertical="top"/>
    </xf>
    <xf numFmtId="49" fontId="2" fillId="0" borderId="0" xfId="0" applyNumberFormat="1" applyFont="1" applyFill="1" applyAlignment="1">
      <alignment horizontal="justify" vertical="top"/>
    </xf>
    <xf numFmtId="0" fontId="5" fillId="0" borderId="0" xfId="0" applyFont="1" applyFill="1" applyBorder="1" applyAlignment="1">
      <alignment horizontal="justify" vertical="top"/>
    </xf>
    <xf numFmtId="0" fontId="6" fillId="0" borderId="0" xfId="0" applyFont="1" applyFill="1" applyAlignment="1">
      <alignment horizontal="justify" vertical="top"/>
    </xf>
    <xf numFmtId="0" fontId="6" fillId="0" borderId="0" xfId="0" applyFont="1" applyFill="1" applyAlignment="1">
      <alignment horizontal="justify" vertical="top" wrapText="1"/>
    </xf>
    <xf numFmtId="0" fontId="8" fillId="0" borderId="0" xfId="0" applyFont="1" applyFill="1" applyAlignment="1">
      <alignment horizontal="right" vertical="top"/>
    </xf>
    <xf numFmtId="164" fontId="4" fillId="0" borderId="0" xfId="0" applyNumberFormat="1" applyFont="1" applyFill="1" applyAlignment="1">
      <alignment vertical="top" wrapText="1"/>
    </xf>
    <xf numFmtId="0" fontId="4" fillId="0" borderId="0" xfId="0" applyFont="1" applyFill="1" applyAlignment="1">
      <alignment horizontal="center" vertical="top"/>
    </xf>
    <xf numFmtId="0" fontId="9" fillId="0" borderId="0" xfId="0" applyFont="1" applyFill="1" applyAlignment="1">
      <alignment horizontal="justify" vertical="top"/>
    </xf>
    <xf numFmtId="0" fontId="5" fillId="0" borderId="0" xfId="0" applyFont="1" applyFill="1" applyAlignment="1">
      <alignment horizontal="center" vertical="top"/>
    </xf>
    <xf numFmtId="49" fontId="1" fillId="0" borderId="0" xfId="0" applyNumberFormat="1" applyFont="1" applyFill="1" applyAlignment="1">
      <alignment horizontal="lef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11" fillId="0" borderId="0" xfId="0" applyFont="1" applyFill="1" applyAlignment="1">
      <alignment horizontal="justify" vertical="top" wrapText="1"/>
    </xf>
    <xf numFmtId="49" fontId="11" fillId="0" borderId="0" xfId="0" applyNumberFormat="1" applyFont="1" applyFill="1" applyAlignment="1">
      <alignment horizontal="center" vertical="top" wrapText="1"/>
    </xf>
    <xf numFmtId="0" fontId="10" fillId="0" borderId="0" xfId="0" applyFont="1" applyFill="1" applyAlignment="1">
      <alignment horizontal="justify" vertical="top" wrapText="1"/>
    </xf>
    <xf numFmtId="49" fontId="10" fillId="0" borderId="0" xfId="0" applyNumberFormat="1" applyFont="1" applyFill="1" applyAlignment="1">
      <alignment horizontal="center" vertical="top" wrapText="1"/>
    </xf>
    <xf numFmtId="0" fontId="10" fillId="0" borderId="0" xfId="0" applyFont="1" applyFill="1" applyAlignment="1">
      <alignment horizontal="center" vertical="top" wrapText="1"/>
    </xf>
    <xf numFmtId="49" fontId="4" fillId="0" borderId="0" xfId="0" applyNumberFormat="1" applyFont="1" applyFill="1" applyAlignment="1">
      <alignment horizontal="justify" vertical="top" wrapText="1"/>
    </xf>
    <xf numFmtId="164" fontId="4" fillId="0" borderId="0" xfId="0" applyNumberFormat="1" applyFont="1" applyFill="1" applyAlignment="1">
      <alignment horizontal="right" vertical="top"/>
    </xf>
    <xf numFmtId="4" fontId="4" fillId="0" borderId="0" xfId="0" applyNumberFormat="1" applyFont="1" applyFill="1" applyAlignment="1">
      <alignment vertical="top" wrapText="1"/>
    </xf>
    <xf numFmtId="4" fontId="1" fillId="0" borderId="0" xfId="0" applyNumberFormat="1" applyFont="1" applyFill="1" applyAlignment="1">
      <alignment vertical="top" wrapText="1"/>
    </xf>
    <xf numFmtId="4" fontId="3" fillId="0" borderId="0" xfId="0" applyNumberFormat="1" applyFont="1" applyFill="1" applyAlignment="1">
      <alignment vertical="top"/>
    </xf>
    <xf numFmtId="0" fontId="6" fillId="0" borderId="0" xfId="0" applyFont="1" applyFill="1" applyAlignment="1">
      <alignment vertical="top"/>
    </xf>
    <xf numFmtId="0" fontId="1" fillId="0" borderId="0" xfId="0" applyFont="1" applyFill="1" applyBorder="1" applyAlignment="1">
      <alignment horizontal="center" vertical="top"/>
    </xf>
    <xf numFmtId="164" fontId="1" fillId="0" borderId="0" xfId="0" applyNumberFormat="1" applyFont="1" applyFill="1" applyBorder="1" applyAlignment="1">
      <alignment horizontal="right" vertical="top"/>
    </xf>
    <xf numFmtId="4" fontId="1" fillId="0" borderId="0" xfId="0" applyNumberFormat="1" applyFont="1" applyFill="1" applyAlignment="1">
      <alignment horizontal="right" vertical="top"/>
    </xf>
    <xf numFmtId="0" fontId="6" fillId="0" borderId="0" xfId="0" applyFont="1" applyFill="1" applyAlignment="1">
      <alignment vertical="top" wrapText="1"/>
    </xf>
    <xf numFmtId="0" fontId="6" fillId="0" borderId="0" xfId="0" applyFont="1" applyFill="1" applyBorder="1" applyAlignment="1">
      <alignment horizontal="justify" vertical="top"/>
    </xf>
    <xf numFmtId="0" fontId="11" fillId="0" borderId="0" xfId="0" applyFont="1" applyFill="1" applyAlignment="1">
      <alignment wrapText="1"/>
    </xf>
    <xf numFmtId="0" fontId="11" fillId="0" borderId="0" xfId="0" applyFont="1" applyFill="1" applyBorder="1" applyAlignment="1">
      <alignment horizontal="justify" vertical="center" wrapText="1"/>
    </xf>
    <xf numFmtId="0" fontId="7" fillId="0" borderId="0" xfId="0" applyFont="1" applyFill="1" applyAlignment="1">
      <alignment horizontal="justify" vertical="top"/>
    </xf>
    <xf numFmtId="43" fontId="9" fillId="0" borderId="0" xfId="1" applyFont="1" applyFill="1" applyAlignment="1">
      <alignment horizontal="right" vertical="top"/>
    </xf>
    <xf numFmtId="43" fontId="1" fillId="0" borderId="0" xfId="0" applyNumberFormat="1" applyFont="1" applyFill="1" applyAlignment="1">
      <alignment vertical="top"/>
    </xf>
    <xf numFmtId="164" fontId="1" fillId="0" borderId="0" xfId="0" applyNumberFormat="1" applyFont="1" applyFill="1" applyAlignment="1">
      <alignment horizontal="center" vertical="top" wrapText="1"/>
    </xf>
    <xf numFmtId="164" fontId="4" fillId="0" borderId="0" xfId="0" applyNumberFormat="1" applyFont="1" applyFill="1" applyAlignment="1">
      <alignment horizontal="center" vertical="top" wrapText="1"/>
    </xf>
    <xf numFmtId="2" fontId="1" fillId="0" borderId="0" xfId="0" applyNumberFormat="1" applyFont="1" applyFill="1" applyAlignment="1">
      <alignment horizontal="right" vertical="top"/>
    </xf>
    <xf numFmtId="2" fontId="4" fillId="0" borderId="0" xfId="0" applyNumberFormat="1" applyFont="1" applyFill="1" applyAlignment="1">
      <alignment horizontal="right" vertical="top"/>
    </xf>
    <xf numFmtId="164" fontId="3" fillId="0" borderId="0" xfId="0" applyNumberFormat="1" applyFont="1" applyFill="1" applyAlignment="1">
      <alignment horizontal="right" vertical="top" wrapText="1"/>
    </xf>
    <xf numFmtId="164" fontId="5" fillId="0" borderId="0" xfId="0" applyNumberFormat="1" applyFont="1" applyFill="1" applyAlignment="1">
      <alignment horizontal="right" vertical="top" wrapText="1"/>
    </xf>
    <xf numFmtId="164" fontId="5" fillId="0" borderId="0" xfId="0" applyNumberFormat="1" applyFont="1" applyFill="1" applyAlignment="1">
      <alignment horizontal="right" vertical="top"/>
    </xf>
    <xf numFmtId="164" fontId="3" fillId="0" borderId="0" xfId="0" applyNumberFormat="1" applyFont="1" applyFill="1" applyAlignment="1">
      <alignment vertical="top" wrapText="1"/>
    </xf>
    <xf numFmtId="164" fontId="9" fillId="0" borderId="0" xfId="0" applyNumberFormat="1" applyFont="1" applyFill="1" applyAlignment="1">
      <alignment horizontal="right" vertical="top"/>
    </xf>
    <xf numFmtId="0" fontId="13" fillId="0" borderId="0" xfId="0" applyFont="1" applyFill="1" applyAlignment="1">
      <alignment horizontal="justify" vertical="top" wrapText="1"/>
    </xf>
    <xf numFmtId="0" fontId="13" fillId="0" borderId="0" xfId="0" applyFont="1" applyFill="1" applyAlignment="1">
      <alignment horizontal="center" vertical="top"/>
    </xf>
    <xf numFmtId="0" fontId="13" fillId="0" borderId="0" xfId="0" applyFont="1" applyFill="1" applyAlignment="1">
      <alignment horizontal="right" vertical="top"/>
    </xf>
    <xf numFmtId="0" fontId="13" fillId="0" borderId="0" xfId="0" applyFont="1" applyFill="1" applyAlignment="1">
      <alignment vertical="top"/>
    </xf>
    <xf numFmtId="0" fontId="6" fillId="0" borderId="0" xfId="0" applyFont="1" applyFill="1" applyBorder="1" applyAlignment="1">
      <alignment horizontal="justify" vertical="top" wrapText="1"/>
    </xf>
    <xf numFmtId="49" fontId="2" fillId="0" borderId="0" xfId="0" applyNumberFormat="1" applyFont="1" applyFill="1" applyAlignment="1">
      <alignment horizontal="center" vertical="top"/>
    </xf>
    <xf numFmtId="4" fontId="3" fillId="0" borderId="0" xfId="0" applyNumberFormat="1" applyFont="1" applyFill="1" applyAlignment="1">
      <alignment horizontal="right" vertical="top"/>
    </xf>
    <xf numFmtId="164" fontId="3" fillId="0" borderId="0" xfId="0" applyNumberFormat="1" applyFont="1" applyFill="1" applyAlignment="1">
      <alignment horizontal="right" vertical="top"/>
    </xf>
    <xf numFmtId="49" fontId="10" fillId="0" borderId="0" xfId="0" applyNumberFormat="1" applyFont="1" applyFill="1" applyAlignment="1">
      <alignment horizontal="center" vertical="top"/>
    </xf>
    <xf numFmtId="0" fontId="10" fillId="0" borderId="0" xfId="0" applyFont="1" applyFill="1" applyAlignment="1">
      <alignment horizontal="center" vertical="top"/>
    </xf>
    <xf numFmtId="4" fontId="1" fillId="0" borderId="0" xfId="0" applyNumberFormat="1" applyFont="1" applyFill="1" applyAlignment="1">
      <alignment vertical="top"/>
    </xf>
    <xf numFmtId="49" fontId="2" fillId="0" borderId="0" xfId="0" applyNumberFormat="1" applyFont="1" applyFill="1" applyAlignment="1">
      <alignment horizontal="center" vertical="top"/>
    </xf>
    <xf numFmtId="49" fontId="4" fillId="0" borderId="0" xfId="0" applyNumberFormat="1" applyFont="1" applyFill="1" applyAlignment="1">
      <alignment horizontal="left" vertical="top"/>
    </xf>
    <xf numFmtId="0" fontId="4" fillId="0" borderId="0" xfId="0" applyFont="1" applyFill="1" applyAlignment="1">
      <alignment horizontal="left" vertical="top"/>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3"/>
  <sheetViews>
    <sheetView tabSelected="1" topLeftCell="A998" workbookViewId="0">
      <selection activeCell="E1011" sqref="E1011"/>
    </sheetView>
  </sheetViews>
  <sheetFormatPr defaultRowHeight="15" x14ac:dyDescent="0.2"/>
  <cols>
    <col min="1" max="1" width="63.140625" style="9" customWidth="1"/>
    <col min="2" max="2" width="7.140625" style="5" customWidth="1"/>
    <col min="3" max="4" width="3.5703125" style="5" customWidth="1"/>
    <col min="5" max="5" width="14.85546875" style="5" customWidth="1"/>
    <col min="6" max="6" width="5.85546875" style="5" customWidth="1"/>
    <col min="7" max="7" width="18.85546875" style="2" customWidth="1"/>
    <col min="8" max="16384" width="9.140625" style="2"/>
  </cols>
  <sheetData>
    <row r="1" spans="1:7" x14ac:dyDescent="0.2">
      <c r="A1" s="1"/>
      <c r="B1" s="1"/>
      <c r="C1" s="96" t="s">
        <v>815</v>
      </c>
      <c r="D1" s="96"/>
      <c r="E1" s="96"/>
      <c r="F1" s="96"/>
      <c r="G1" s="96"/>
    </row>
    <row r="2" spans="1:7" x14ac:dyDescent="0.2">
      <c r="A2" s="1"/>
      <c r="B2" s="1"/>
      <c r="C2" s="97" t="s">
        <v>64</v>
      </c>
      <c r="D2" s="97"/>
      <c r="E2" s="97"/>
      <c r="F2" s="97"/>
      <c r="G2" s="97"/>
    </row>
    <row r="3" spans="1:7" x14ac:dyDescent="0.2">
      <c r="A3" s="1"/>
      <c r="B3" s="1"/>
      <c r="C3" s="97" t="s">
        <v>63</v>
      </c>
      <c r="D3" s="97"/>
      <c r="E3" s="97"/>
      <c r="F3" s="97"/>
      <c r="G3" s="97"/>
    </row>
    <row r="4" spans="1:7" x14ac:dyDescent="0.2">
      <c r="A4" s="1"/>
      <c r="B4" s="1"/>
      <c r="C4" s="97" t="s">
        <v>697</v>
      </c>
      <c r="D4" s="97"/>
      <c r="E4" s="97"/>
      <c r="F4" s="97"/>
      <c r="G4" s="97"/>
    </row>
    <row r="5" spans="1:7" x14ac:dyDescent="0.2">
      <c r="A5" s="1"/>
      <c r="B5" s="3"/>
      <c r="C5" s="3"/>
      <c r="D5" s="3"/>
    </row>
    <row r="6" spans="1:7" ht="15.75" x14ac:dyDescent="0.2">
      <c r="A6" s="1"/>
      <c r="B6" s="3"/>
      <c r="C6" s="3"/>
      <c r="D6" s="3"/>
      <c r="G6" s="46"/>
    </row>
    <row r="7" spans="1:7" ht="15.75" x14ac:dyDescent="0.2">
      <c r="A7" s="1"/>
      <c r="B7" s="3"/>
      <c r="C7" s="3"/>
      <c r="D7" s="3"/>
      <c r="G7" s="46" t="s">
        <v>434</v>
      </c>
    </row>
    <row r="8" spans="1:7" x14ac:dyDescent="0.2">
      <c r="A8" s="1"/>
      <c r="B8" s="3"/>
      <c r="C8" s="3"/>
      <c r="D8" s="3"/>
    </row>
    <row r="9" spans="1:7" ht="18.75" x14ac:dyDescent="0.2">
      <c r="A9" s="95" t="s">
        <v>39</v>
      </c>
      <c r="B9" s="95"/>
      <c r="C9" s="95"/>
      <c r="D9" s="95"/>
      <c r="E9" s="95"/>
      <c r="F9" s="95"/>
      <c r="G9" s="95"/>
    </row>
    <row r="10" spans="1:7" ht="18.75" x14ac:dyDescent="0.2">
      <c r="A10" s="95" t="s">
        <v>548</v>
      </c>
      <c r="B10" s="95"/>
      <c r="C10" s="95"/>
      <c r="D10" s="95"/>
      <c r="E10" s="95"/>
      <c r="F10" s="95"/>
      <c r="G10" s="95"/>
    </row>
    <row r="11" spans="1:7" ht="18.75" x14ac:dyDescent="0.2">
      <c r="A11" s="42"/>
      <c r="B11" s="89"/>
      <c r="C11" s="89"/>
      <c r="D11" s="89"/>
      <c r="E11" s="89"/>
      <c r="F11" s="89"/>
      <c r="G11" s="89"/>
    </row>
    <row r="12" spans="1:7" x14ac:dyDescent="0.2">
      <c r="A12" s="1"/>
      <c r="B12" s="3"/>
      <c r="C12" s="3"/>
      <c r="G12" s="4" t="s">
        <v>547</v>
      </c>
    </row>
    <row r="13" spans="1:7" x14ac:dyDescent="0.2">
      <c r="A13" s="34" t="s">
        <v>44</v>
      </c>
      <c r="B13" s="35" t="s">
        <v>277</v>
      </c>
      <c r="C13" s="35" t="s">
        <v>0</v>
      </c>
      <c r="D13" s="34" t="s">
        <v>1</v>
      </c>
      <c r="E13" s="34" t="s">
        <v>2</v>
      </c>
      <c r="F13" s="34" t="s">
        <v>3</v>
      </c>
      <c r="G13" s="34" t="s">
        <v>4</v>
      </c>
    </row>
    <row r="14" spans="1:7" x14ac:dyDescent="0.2">
      <c r="A14" s="43"/>
      <c r="B14" s="36"/>
      <c r="C14" s="36"/>
      <c r="D14" s="29"/>
      <c r="E14" s="29"/>
      <c r="F14" s="29"/>
      <c r="G14" s="29"/>
    </row>
    <row r="15" spans="1:7" ht="42.75" x14ac:dyDescent="0.2">
      <c r="A15" s="6" t="s">
        <v>96</v>
      </c>
      <c r="B15" s="7" t="s">
        <v>278</v>
      </c>
      <c r="C15" s="7"/>
      <c r="D15" s="7"/>
      <c r="E15" s="7"/>
      <c r="F15" s="7"/>
      <c r="G15" s="79">
        <f>G16+G63+G73+G91+G97+G114+G109+G123+G128+G134+G57</f>
        <v>2156377.9</v>
      </c>
    </row>
    <row r="16" spans="1:7" x14ac:dyDescent="0.2">
      <c r="A16" s="1" t="s">
        <v>5</v>
      </c>
      <c r="B16" s="3" t="s">
        <v>278</v>
      </c>
      <c r="C16" s="3" t="s">
        <v>6</v>
      </c>
      <c r="D16" s="3"/>
      <c r="E16" s="3"/>
      <c r="F16" s="3"/>
      <c r="G16" s="8">
        <f>G17+G21+G25+G30+G34</f>
        <v>573735.30000000005</v>
      </c>
    </row>
    <row r="17" spans="1:7" ht="45" x14ac:dyDescent="0.2">
      <c r="A17" s="9" t="s">
        <v>26</v>
      </c>
      <c r="B17" s="3" t="s">
        <v>278</v>
      </c>
      <c r="C17" s="10" t="s">
        <v>6</v>
      </c>
      <c r="D17" s="10" t="s">
        <v>7</v>
      </c>
      <c r="E17" s="10"/>
      <c r="F17" s="10"/>
      <c r="G17" s="15">
        <f>G18</f>
        <v>43025.8</v>
      </c>
    </row>
    <row r="18" spans="1:7" x14ac:dyDescent="0.2">
      <c r="A18" s="54" t="s">
        <v>115</v>
      </c>
      <c r="B18" s="3" t="s">
        <v>278</v>
      </c>
      <c r="C18" s="55" t="s">
        <v>6</v>
      </c>
      <c r="D18" s="55" t="s">
        <v>7</v>
      </c>
      <c r="E18" s="55" t="s">
        <v>122</v>
      </c>
      <c r="F18" s="3"/>
      <c r="G18" s="15">
        <f>G19</f>
        <v>43025.8</v>
      </c>
    </row>
    <row r="19" spans="1:7" x14ac:dyDescent="0.2">
      <c r="A19" s="20" t="s">
        <v>8</v>
      </c>
      <c r="B19" s="3" t="s">
        <v>278</v>
      </c>
      <c r="C19" s="19" t="s">
        <v>6</v>
      </c>
      <c r="D19" s="55" t="s">
        <v>7</v>
      </c>
      <c r="E19" s="55" t="s">
        <v>123</v>
      </c>
      <c r="F19" s="19"/>
      <c r="G19" s="15">
        <f>G20</f>
        <v>43025.8</v>
      </c>
    </row>
    <row r="20" spans="1:7" ht="30" x14ac:dyDescent="0.2">
      <c r="A20" s="44" t="s">
        <v>102</v>
      </c>
      <c r="B20" s="3" t="s">
        <v>278</v>
      </c>
      <c r="C20" s="19" t="s">
        <v>6</v>
      </c>
      <c r="D20" s="55" t="s">
        <v>7</v>
      </c>
      <c r="E20" s="55" t="s">
        <v>123</v>
      </c>
      <c r="F20" s="19" t="s">
        <v>101</v>
      </c>
      <c r="G20" s="15">
        <f>41518.3-1052.8+2560.3</f>
        <v>43025.8</v>
      </c>
    </row>
    <row r="21" spans="1:7" x14ac:dyDescent="0.2">
      <c r="A21" s="1" t="s">
        <v>555</v>
      </c>
      <c r="B21" s="3" t="s">
        <v>278</v>
      </c>
      <c r="C21" s="3" t="s">
        <v>6</v>
      </c>
      <c r="D21" s="3" t="s">
        <v>9</v>
      </c>
      <c r="E21" s="55"/>
      <c r="F21" s="19"/>
      <c r="G21" s="30">
        <f>G22</f>
        <v>4851.3</v>
      </c>
    </row>
    <row r="22" spans="1:7" x14ac:dyDescent="0.2">
      <c r="A22" s="54" t="s">
        <v>115</v>
      </c>
      <c r="B22" s="3" t="s">
        <v>278</v>
      </c>
      <c r="C22" s="3" t="s">
        <v>6</v>
      </c>
      <c r="D22" s="3" t="s">
        <v>9</v>
      </c>
      <c r="E22" s="55" t="s">
        <v>122</v>
      </c>
      <c r="F22" s="3"/>
      <c r="G22" s="31">
        <f>G23</f>
        <v>4851.3</v>
      </c>
    </row>
    <row r="23" spans="1:7" ht="45" x14ac:dyDescent="0.2">
      <c r="A23" s="20" t="s">
        <v>556</v>
      </c>
      <c r="B23" s="3" t="s">
        <v>278</v>
      </c>
      <c r="C23" s="3" t="s">
        <v>6</v>
      </c>
      <c r="D23" s="3" t="s">
        <v>9</v>
      </c>
      <c r="E23" s="55" t="s">
        <v>591</v>
      </c>
      <c r="F23" s="19"/>
      <c r="G23" s="31">
        <f>G24</f>
        <v>4851.3</v>
      </c>
    </row>
    <row r="24" spans="1:7" ht="30" x14ac:dyDescent="0.2">
      <c r="A24" s="44" t="s">
        <v>102</v>
      </c>
      <c r="B24" s="3" t="s">
        <v>278</v>
      </c>
      <c r="C24" s="3" t="s">
        <v>6</v>
      </c>
      <c r="D24" s="3" t="s">
        <v>9</v>
      </c>
      <c r="E24" s="55" t="s">
        <v>591</v>
      </c>
      <c r="F24" s="19" t="s">
        <v>101</v>
      </c>
      <c r="G24" s="31">
        <v>4851.3</v>
      </c>
    </row>
    <row r="25" spans="1:7" ht="30" x14ac:dyDescent="0.2">
      <c r="A25" s="1" t="s">
        <v>154</v>
      </c>
      <c r="B25" s="3" t="s">
        <v>278</v>
      </c>
      <c r="C25" s="3" t="s">
        <v>6</v>
      </c>
      <c r="D25" s="3" t="s">
        <v>10</v>
      </c>
      <c r="E25" s="55"/>
      <c r="F25" s="19"/>
      <c r="G25" s="30">
        <f>G26</f>
        <v>54866.9</v>
      </c>
    </row>
    <row r="26" spans="1:7" x14ac:dyDescent="0.2">
      <c r="A26" s="54" t="s">
        <v>115</v>
      </c>
      <c r="B26" s="3" t="s">
        <v>278</v>
      </c>
      <c r="C26" s="55" t="s">
        <v>6</v>
      </c>
      <c r="D26" s="55" t="s">
        <v>10</v>
      </c>
      <c r="E26" s="55" t="s">
        <v>122</v>
      </c>
      <c r="F26" s="3"/>
      <c r="G26" s="31">
        <f>G27</f>
        <v>54866.9</v>
      </c>
    </row>
    <row r="27" spans="1:7" x14ac:dyDescent="0.2">
      <c r="A27" s="20" t="s">
        <v>8</v>
      </c>
      <c r="B27" s="3" t="s">
        <v>278</v>
      </c>
      <c r="C27" s="19" t="s">
        <v>6</v>
      </c>
      <c r="D27" s="19" t="s">
        <v>10</v>
      </c>
      <c r="E27" s="55" t="s">
        <v>123</v>
      </c>
      <c r="F27" s="19"/>
      <c r="G27" s="31">
        <f>G28+G29</f>
        <v>54866.9</v>
      </c>
    </row>
    <row r="28" spans="1:7" ht="60" x14ac:dyDescent="0.2">
      <c r="A28" s="44" t="s">
        <v>108</v>
      </c>
      <c r="B28" s="3" t="s">
        <v>278</v>
      </c>
      <c r="C28" s="19" t="s">
        <v>6</v>
      </c>
      <c r="D28" s="19" t="s">
        <v>10</v>
      </c>
      <c r="E28" s="55" t="s">
        <v>123</v>
      </c>
      <c r="F28" s="19" t="s">
        <v>103</v>
      </c>
      <c r="G28" s="31">
        <f>38340.8+3867.4+6184.2+3740.8</f>
        <v>52133.200000000004</v>
      </c>
    </row>
    <row r="29" spans="1:7" ht="30" x14ac:dyDescent="0.2">
      <c r="A29" s="44" t="s">
        <v>102</v>
      </c>
      <c r="B29" s="3" t="s">
        <v>278</v>
      </c>
      <c r="C29" s="19" t="s">
        <v>6</v>
      </c>
      <c r="D29" s="19" t="s">
        <v>10</v>
      </c>
      <c r="E29" s="55" t="s">
        <v>123</v>
      </c>
      <c r="F29" s="19" t="s">
        <v>101</v>
      </c>
      <c r="G29" s="31">
        <f>2730+3.7</f>
        <v>2733.7</v>
      </c>
    </row>
    <row r="30" spans="1:7" s="24" customFormat="1" x14ac:dyDescent="0.2">
      <c r="A30" s="1" t="s">
        <v>55</v>
      </c>
      <c r="B30" s="3" t="s">
        <v>278</v>
      </c>
      <c r="C30" s="3" t="s">
        <v>6</v>
      </c>
      <c r="D30" s="3" t="s">
        <v>47</v>
      </c>
      <c r="E30" s="3"/>
      <c r="F30" s="3"/>
      <c r="G30" s="31">
        <f>G31</f>
        <v>109061.2</v>
      </c>
    </row>
    <row r="31" spans="1:7" s="24" customFormat="1" x14ac:dyDescent="0.2">
      <c r="A31" s="20" t="s">
        <v>115</v>
      </c>
      <c r="B31" s="3" t="s">
        <v>278</v>
      </c>
      <c r="C31" s="19" t="s">
        <v>6</v>
      </c>
      <c r="D31" s="19" t="s">
        <v>47</v>
      </c>
      <c r="E31" s="55" t="s">
        <v>122</v>
      </c>
      <c r="F31" s="19"/>
      <c r="G31" s="47">
        <f>G32</f>
        <v>109061.2</v>
      </c>
    </row>
    <row r="32" spans="1:7" s="24" customFormat="1" x14ac:dyDescent="0.2">
      <c r="A32" s="44" t="s">
        <v>56</v>
      </c>
      <c r="B32" s="3" t="s">
        <v>278</v>
      </c>
      <c r="C32" s="19" t="s">
        <v>6</v>
      </c>
      <c r="D32" s="19" t="s">
        <v>47</v>
      </c>
      <c r="E32" s="19" t="s">
        <v>323</v>
      </c>
      <c r="F32" s="19"/>
      <c r="G32" s="47">
        <f>G33</f>
        <v>109061.2</v>
      </c>
    </row>
    <row r="33" spans="1:7" s="24" customFormat="1" x14ac:dyDescent="0.2">
      <c r="A33" s="44" t="s">
        <v>109</v>
      </c>
      <c r="B33" s="3" t="s">
        <v>278</v>
      </c>
      <c r="C33" s="19" t="s">
        <v>6</v>
      </c>
      <c r="D33" s="19" t="s">
        <v>47</v>
      </c>
      <c r="E33" s="19" t="s">
        <v>323</v>
      </c>
      <c r="F33" s="19" t="s">
        <v>104</v>
      </c>
      <c r="G33" s="47">
        <f>112543-3299.7-182.1</f>
        <v>109061.2</v>
      </c>
    </row>
    <row r="34" spans="1:7" x14ac:dyDescent="0.2">
      <c r="A34" s="1" t="s">
        <v>42</v>
      </c>
      <c r="B34" s="3" t="s">
        <v>278</v>
      </c>
      <c r="C34" s="3" t="s">
        <v>6</v>
      </c>
      <c r="D34" s="3" t="s">
        <v>50</v>
      </c>
      <c r="E34" s="3"/>
      <c r="F34" s="3"/>
      <c r="G34" s="31">
        <f>G35+G53</f>
        <v>361930.10000000003</v>
      </c>
    </row>
    <row r="35" spans="1:7" s="24" customFormat="1" x14ac:dyDescent="0.2">
      <c r="A35" s="20" t="s">
        <v>115</v>
      </c>
      <c r="B35" s="3" t="s">
        <v>278</v>
      </c>
      <c r="C35" s="3" t="s">
        <v>6</v>
      </c>
      <c r="D35" s="3" t="s">
        <v>50</v>
      </c>
      <c r="E35" s="55" t="s">
        <v>122</v>
      </c>
      <c r="F35" s="19"/>
      <c r="G35" s="31">
        <f>G36+G38+G40</f>
        <v>355494.10000000003</v>
      </c>
    </row>
    <row r="36" spans="1:7" s="24" customFormat="1" x14ac:dyDescent="0.2">
      <c r="A36" s="44" t="s">
        <v>94</v>
      </c>
      <c r="B36" s="3" t="s">
        <v>278</v>
      </c>
      <c r="C36" s="3" t="s">
        <v>6</v>
      </c>
      <c r="D36" s="3" t="s">
        <v>50</v>
      </c>
      <c r="E36" s="55" t="s">
        <v>146</v>
      </c>
      <c r="F36" s="19"/>
      <c r="G36" s="47">
        <f>G37</f>
        <v>0.6</v>
      </c>
    </row>
    <row r="37" spans="1:7" s="24" customFormat="1" x14ac:dyDescent="0.2">
      <c r="A37" s="44" t="s">
        <v>109</v>
      </c>
      <c r="B37" s="3" t="s">
        <v>278</v>
      </c>
      <c r="C37" s="3" t="s">
        <v>6</v>
      </c>
      <c r="D37" s="3" t="s">
        <v>50</v>
      </c>
      <c r="E37" s="55" t="s">
        <v>146</v>
      </c>
      <c r="F37" s="19" t="s">
        <v>104</v>
      </c>
      <c r="G37" s="47">
        <v>0.6</v>
      </c>
    </row>
    <row r="38" spans="1:7" s="24" customFormat="1" ht="45" x14ac:dyDescent="0.2">
      <c r="A38" s="45" t="s">
        <v>62</v>
      </c>
      <c r="B38" s="3" t="s">
        <v>278</v>
      </c>
      <c r="C38" s="3" t="s">
        <v>6</v>
      </c>
      <c r="D38" s="3" t="s">
        <v>50</v>
      </c>
      <c r="E38" s="3" t="s">
        <v>124</v>
      </c>
      <c r="F38" s="19"/>
      <c r="G38" s="31">
        <f>SUM(G39:G39)</f>
        <v>1545.7</v>
      </c>
    </row>
    <row r="39" spans="1:7" s="24" customFormat="1" ht="60" x14ac:dyDescent="0.2">
      <c r="A39" s="44" t="s">
        <v>108</v>
      </c>
      <c r="B39" s="3" t="s">
        <v>278</v>
      </c>
      <c r="C39" s="3" t="s">
        <v>6</v>
      </c>
      <c r="D39" s="3" t="s">
        <v>50</v>
      </c>
      <c r="E39" s="3" t="s">
        <v>124</v>
      </c>
      <c r="F39" s="19" t="s">
        <v>103</v>
      </c>
      <c r="G39" s="31">
        <v>1545.7</v>
      </c>
    </row>
    <row r="40" spans="1:7" s="24" customFormat="1" ht="30" x14ac:dyDescent="0.2">
      <c r="A40" s="45" t="s">
        <v>100</v>
      </c>
      <c r="B40" s="3" t="s">
        <v>278</v>
      </c>
      <c r="C40" s="3" t="s">
        <v>6</v>
      </c>
      <c r="D40" s="3" t="s">
        <v>50</v>
      </c>
      <c r="E40" s="19" t="s">
        <v>126</v>
      </c>
      <c r="F40" s="19"/>
      <c r="G40" s="31">
        <f>G41+G43+G45+G47+G50</f>
        <v>353947.80000000005</v>
      </c>
    </row>
    <row r="41" spans="1:7" s="24" customFormat="1" x14ac:dyDescent="0.2">
      <c r="A41" s="45" t="s">
        <v>506</v>
      </c>
      <c r="B41" s="3" t="s">
        <v>278</v>
      </c>
      <c r="C41" s="3" t="s">
        <v>6</v>
      </c>
      <c r="D41" s="3" t="s">
        <v>50</v>
      </c>
      <c r="E41" s="19" t="s">
        <v>507</v>
      </c>
      <c r="F41" s="19"/>
      <c r="G41" s="47">
        <f>G42</f>
        <v>103000</v>
      </c>
    </row>
    <row r="42" spans="1:7" s="24" customFormat="1" x14ac:dyDescent="0.2">
      <c r="A42" s="44" t="s">
        <v>109</v>
      </c>
      <c r="B42" s="3" t="s">
        <v>278</v>
      </c>
      <c r="C42" s="3" t="s">
        <v>6</v>
      </c>
      <c r="D42" s="3" t="s">
        <v>50</v>
      </c>
      <c r="E42" s="19" t="s">
        <v>507</v>
      </c>
      <c r="F42" s="19" t="s">
        <v>104</v>
      </c>
      <c r="G42" s="47">
        <f>107000-4000</f>
        <v>103000</v>
      </c>
    </row>
    <row r="43" spans="1:7" s="24" customFormat="1" x14ac:dyDescent="0.2">
      <c r="A43" s="45" t="s">
        <v>42</v>
      </c>
      <c r="B43" s="3" t="s">
        <v>278</v>
      </c>
      <c r="C43" s="3" t="s">
        <v>6</v>
      </c>
      <c r="D43" s="3" t="s">
        <v>50</v>
      </c>
      <c r="E43" s="19" t="s">
        <v>461</v>
      </c>
      <c r="F43" s="19"/>
      <c r="G43" s="47">
        <f>G44</f>
        <v>34027.599999999999</v>
      </c>
    </row>
    <row r="44" spans="1:7" s="24" customFormat="1" ht="30" x14ac:dyDescent="0.2">
      <c r="A44" s="44" t="s">
        <v>102</v>
      </c>
      <c r="B44" s="3" t="s">
        <v>278</v>
      </c>
      <c r="C44" s="3" t="s">
        <v>6</v>
      </c>
      <c r="D44" s="3" t="s">
        <v>50</v>
      </c>
      <c r="E44" s="19" t="s">
        <v>461</v>
      </c>
      <c r="F44" s="19" t="s">
        <v>101</v>
      </c>
      <c r="G44" s="47">
        <v>34027.599999999999</v>
      </c>
    </row>
    <row r="45" spans="1:7" s="24" customFormat="1" ht="45" x14ac:dyDescent="0.2">
      <c r="A45" s="44" t="s">
        <v>528</v>
      </c>
      <c r="B45" s="3" t="s">
        <v>278</v>
      </c>
      <c r="C45" s="3" t="s">
        <v>6</v>
      </c>
      <c r="D45" s="3" t="s">
        <v>50</v>
      </c>
      <c r="E45" s="19" t="s">
        <v>529</v>
      </c>
      <c r="F45" s="19"/>
      <c r="G45" s="47">
        <f>G46</f>
        <v>883.6</v>
      </c>
    </row>
    <row r="46" spans="1:7" s="24" customFormat="1" ht="60" x14ac:dyDescent="0.2">
      <c r="A46" s="44" t="s">
        <v>108</v>
      </c>
      <c r="B46" s="3" t="s">
        <v>278</v>
      </c>
      <c r="C46" s="3" t="s">
        <v>6</v>
      </c>
      <c r="D46" s="3" t="s">
        <v>50</v>
      </c>
      <c r="E46" s="19" t="s">
        <v>529</v>
      </c>
      <c r="F46" s="19" t="s">
        <v>103</v>
      </c>
      <c r="G46" s="47">
        <v>883.6</v>
      </c>
    </row>
    <row r="47" spans="1:7" s="24" customFormat="1" ht="30" x14ac:dyDescent="0.2">
      <c r="A47" s="44" t="s">
        <v>508</v>
      </c>
      <c r="B47" s="3" t="s">
        <v>278</v>
      </c>
      <c r="C47" s="3" t="s">
        <v>6</v>
      </c>
      <c r="D47" s="3" t="s">
        <v>50</v>
      </c>
      <c r="E47" s="19" t="s">
        <v>509</v>
      </c>
      <c r="F47" s="19"/>
      <c r="G47" s="47">
        <f>SUM(G48:G49)</f>
        <v>41765.100000000006</v>
      </c>
    </row>
    <row r="48" spans="1:7" s="24" customFormat="1" ht="60" x14ac:dyDescent="0.2">
      <c r="A48" s="44" t="s">
        <v>108</v>
      </c>
      <c r="B48" s="3" t="s">
        <v>278</v>
      </c>
      <c r="C48" s="3" t="s">
        <v>6</v>
      </c>
      <c r="D48" s="3" t="s">
        <v>50</v>
      </c>
      <c r="E48" s="19" t="s">
        <v>509</v>
      </c>
      <c r="F48" s="19" t="s">
        <v>103</v>
      </c>
      <c r="G48" s="47">
        <f>21994+4922.4+7088.4+751</f>
        <v>34755.800000000003</v>
      </c>
    </row>
    <row r="49" spans="1:7" s="24" customFormat="1" ht="30" x14ac:dyDescent="0.2">
      <c r="A49" s="44" t="s">
        <v>102</v>
      </c>
      <c r="B49" s="3" t="s">
        <v>278</v>
      </c>
      <c r="C49" s="3" t="s">
        <v>6</v>
      </c>
      <c r="D49" s="3" t="s">
        <v>50</v>
      </c>
      <c r="E49" s="19" t="s">
        <v>509</v>
      </c>
      <c r="F49" s="19" t="s">
        <v>101</v>
      </c>
      <c r="G49" s="47">
        <v>7009.3</v>
      </c>
    </row>
    <row r="50" spans="1:7" s="24" customFormat="1" ht="30" x14ac:dyDescent="0.2">
      <c r="A50" s="44" t="s">
        <v>510</v>
      </c>
      <c r="B50" s="3" t="s">
        <v>278</v>
      </c>
      <c r="C50" s="3" t="s">
        <v>6</v>
      </c>
      <c r="D50" s="3" t="s">
        <v>50</v>
      </c>
      <c r="E50" s="19" t="s">
        <v>511</v>
      </c>
      <c r="F50" s="19"/>
      <c r="G50" s="31">
        <f>G52+G51</f>
        <v>174271.5</v>
      </c>
    </row>
    <row r="51" spans="1:7" s="24" customFormat="1" ht="60" x14ac:dyDescent="0.2">
      <c r="A51" s="44" t="s">
        <v>108</v>
      </c>
      <c r="B51" s="3" t="s">
        <v>278</v>
      </c>
      <c r="C51" s="3" t="s">
        <v>6</v>
      </c>
      <c r="D51" s="3" t="s">
        <v>50</v>
      </c>
      <c r="E51" s="19" t="s">
        <v>511</v>
      </c>
      <c r="F51" s="19" t="s">
        <v>103</v>
      </c>
      <c r="G51" s="31">
        <f>136976.1</f>
        <v>136976.1</v>
      </c>
    </row>
    <row r="52" spans="1:7" s="24" customFormat="1" ht="30" x14ac:dyDescent="0.2">
      <c r="A52" s="44" t="s">
        <v>102</v>
      </c>
      <c r="B52" s="3" t="s">
        <v>278</v>
      </c>
      <c r="C52" s="3" t="s">
        <v>6</v>
      </c>
      <c r="D52" s="3" t="s">
        <v>50</v>
      </c>
      <c r="E52" s="19" t="s">
        <v>511</v>
      </c>
      <c r="F52" s="19" t="s">
        <v>101</v>
      </c>
      <c r="G52" s="31">
        <f>23193.8-998.8+15100.4</f>
        <v>37295.4</v>
      </c>
    </row>
    <row r="53" spans="1:7" s="24" customFormat="1" ht="30" x14ac:dyDescent="0.2">
      <c r="A53" s="44" t="s">
        <v>645</v>
      </c>
      <c r="B53" s="3" t="s">
        <v>278</v>
      </c>
      <c r="C53" s="3" t="s">
        <v>6</v>
      </c>
      <c r="D53" s="3" t="s">
        <v>50</v>
      </c>
      <c r="E53" s="3" t="s">
        <v>424</v>
      </c>
      <c r="F53" s="19"/>
      <c r="G53" s="47">
        <f>G54</f>
        <v>6436</v>
      </c>
    </row>
    <row r="54" spans="1:7" s="24" customFormat="1" ht="30" x14ac:dyDescent="0.2">
      <c r="A54" s="45" t="s">
        <v>425</v>
      </c>
      <c r="B54" s="3" t="s">
        <v>278</v>
      </c>
      <c r="C54" s="3" t="s">
        <v>6</v>
      </c>
      <c r="D54" s="3" t="s">
        <v>50</v>
      </c>
      <c r="E54" s="3" t="s">
        <v>426</v>
      </c>
      <c r="F54" s="19"/>
      <c r="G54" s="47">
        <f>G55</f>
        <v>6436</v>
      </c>
    </row>
    <row r="55" spans="1:7" s="24" customFormat="1" ht="45" x14ac:dyDescent="0.2">
      <c r="A55" s="44" t="s">
        <v>427</v>
      </c>
      <c r="B55" s="3" t="s">
        <v>278</v>
      </c>
      <c r="C55" s="3" t="s">
        <v>6</v>
      </c>
      <c r="D55" s="3" t="s">
        <v>50</v>
      </c>
      <c r="E55" s="3" t="s">
        <v>428</v>
      </c>
      <c r="F55" s="19"/>
      <c r="G55" s="47">
        <f>G56</f>
        <v>6436</v>
      </c>
    </row>
    <row r="56" spans="1:7" s="24" customFormat="1" ht="30" x14ac:dyDescent="0.2">
      <c r="A56" s="44" t="s">
        <v>102</v>
      </c>
      <c r="B56" s="3" t="s">
        <v>278</v>
      </c>
      <c r="C56" s="3" t="s">
        <v>6</v>
      </c>
      <c r="D56" s="3" t="s">
        <v>50</v>
      </c>
      <c r="E56" s="3" t="s">
        <v>428</v>
      </c>
      <c r="F56" s="19" t="s">
        <v>101</v>
      </c>
      <c r="G56" s="47">
        <v>6436</v>
      </c>
    </row>
    <row r="57" spans="1:7" x14ac:dyDescent="0.2">
      <c r="A57" s="9" t="s">
        <v>14</v>
      </c>
      <c r="B57" s="3" t="s">
        <v>278</v>
      </c>
      <c r="C57" s="3" t="s">
        <v>15</v>
      </c>
      <c r="D57" s="3"/>
      <c r="E57" s="3"/>
      <c r="F57" s="3"/>
      <c r="G57" s="32">
        <f>G58</f>
        <v>220</v>
      </c>
    </row>
    <row r="58" spans="1:7" ht="30" x14ac:dyDescent="0.2">
      <c r="A58" s="9" t="s">
        <v>706</v>
      </c>
      <c r="B58" s="3" t="s">
        <v>278</v>
      </c>
      <c r="C58" s="3" t="s">
        <v>15</v>
      </c>
      <c r="D58" s="3" t="s">
        <v>17</v>
      </c>
      <c r="E58" s="3"/>
      <c r="F58" s="3"/>
      <c r="G58" s="32">
        <f>G59</f>
        <v>220</v>
      </c>
    </row>
    <row r="59" spans="1:7" s="24" customFormat="1" x14ac:dyDescent="0.2">
      <c r="A59" s="9" t="s">
        <v>115</v>
      </c>
      <c r="B59" s="3" t="s">
        <v>278</v>
      </c>
      <c r="C59" s="3" t="s">
        <v>15</v>
      </c>
      <c r="D59" s="3" t="s">
        <v>17</v>
      </c>
      <c r="E59" s="3" t="s">
        <v>122</v>
      </c>
      <c r="F59" s="3"/>
      <c r="G59" s="32">
        <f>G60</f>
        <v>220</v>
      </c>
    </row>
    <row r="60" spans="1:7" s="24" customFormat="1" x14ac:dyDescent="0.2">
      <c r="A60" s="18" t="s">
        <v>41</v>
      </c>
      <c r="B60" s="3" t="s">
        <v>278</v>
      </c>
      <c r="C60" s="19" t="s">
        <v>15</v>
      </c>
      <c r="D60" s="19" t="s">
        <v>17</v>
      </c>
      <c r="E60" s="19" t="s">
        <v>393</v>
      </c>
      <c r="F60" s="19"/>
      <c r="G60" s="28">
        <f>G61</f>
        <v>220</v>
      </c>
    </row>
    <row r="61" spans="1:7" s="24" customFormat="1" x14ac:dyDescent="0.2">
      <c r="A61" s="20" t="s">
        <v>18</v>
      </c>
      <c r="B61" s="3" t="s">
        <v>278</v>
      </c>
      <c r="C61" s="19" t="s">
        <v>15</v>
      </c>
      <c r="D61" s="19" t="s">
        <v>17</v>
      </c>
      <c r="E61" s="19" t="s">
        <v>394</v>
      </c>
      <c r="F61" s="19"/>
      <c r="G61" s="28">
        <f>G62</f>
        <v>220</v>
      </c>
    </row>
    <row r="62" spans="1:7" s="24" customFormat="1" ht="30" x14ac:dyDescent="0.2">
      <c r="A62" s="44" t="s">
        <v>102</v>
      </c>
      <c r="B62" s="3" t="s">
        <v>278</v>
      </c>
      <c r="C62" s="19" t="s">
        <v>15</v>
      </c>
      <c r="D62" s="19" t="s">
        <v>17</v>
      </c>
      <c r="E62" s="19" t="s">
        <v>394</v>
      </c>
      <c r="F62" s="19" t="s">
        <v>101</v>
      </c>
      <c r="G62" s="28">
        <v>220</v>
      </c>
    </row>
    <row r="63" spans="1:7" s="24" customFormat="1" x14ac:dyDescent="0.2">
      <c r="A63" s="1" t="s">
        <v>19</v>
      </c>
      <c r="B63" s="3" t="s">
        <v>278</v>
      </c>
      <c r="C63" s="19" t="s">
        <v>7</v>
      </c>
      <c r="D63" s="19"/>
      <c r="E63" s="19"/>
      <c r="F63" s="19"/>
      <c r="G63" s="28">
        <f>G69+G64</f>
        <v>21190.6</v>
      </c>
    </row>
    <row r="64" spans="1:7" s="24" customFormat="1" x14ac:dyDescent="0.2">
      <c r="A64" s="1" t="s">
        <v>121</v>
      </c>
      <c r="B64" s="3" t="s">
        <v>278</v>
      </c>
      <c r="C64" s="19" t="s">
        <v>7</v>
      </c>
      <c r="D64" s="19" t="s">
        <v>17</v>
      </c>
      <c r="E64" s="19"/>
      <c r="F64" s="19"/>
      <c r="G64" s="28">
        <f>G65</f>
        <v>4040</v>
      </c>
    </row>
    <row r="65" spans="1:7" s="24" customFormat="1" ht="30" x14ac:dyDescent="0.2">
      <c r="A65" s="1" t="s">
        <v>127</v>
      </c>
      <c r="B65" s="3" t="s">
        <v>278</v>
      </c>
      <c r="C65" s="19" t="s">
        <v>7</v>
      </c>
      <c r="D65" s="19" t="s">
        <v>17</v>
      </c>
      <c r="E65" s="3" t="s">
        <v>128</v>
      </c>
      <c r="F65" s="19"/>
      <c r="G65" s="28">
        <f>G66</f>
        <v>4040</v>
      </c>
    </row>
    <row r="66" spans="1:7" s="24" customFormat="1" ht="30" x14ac:dyDescent="0.2">
      <c r="A66" s="44" t="s">
        <v>724</v>
      </c>
      <c r="B66" s="3" t="s">
        <v>278</v>
      </c>
      <c r="C66" s="19" t="s">
        <v>7</v>
      </c>
      <c r="D66" s="19" t="s">
        <v>17</v>
      </c>
      <c r="E66" s="3" t="s">
        <v>129</v>
      </c>
      <c r="F66" s="19"/>
      <c r="G66" s="28">
        <f>G67</f>
        <v>4040</v>
      </c>
    </row>
    <row r="67" spans="1:7" s="24" customFormat="1" ht="45" x14ac:dyDescent="0.2">
      <c r="A67" s="44" t="s">
        <v>423</v>
      </c>
      <c r="B67" s="3" t="s">
        <v>278</v>
      </c>
      <c r="C67" s="19" t="s">
        <v>7</v>
      </c>
      <c r="D67" s="19" t="s">
        <v>17</v>
      </c>
      <c r="E67" s="3" t="s">
        <v>326</v>
      </c>
      <c r="F67" s="19"/>
      <c r="G67" s="28">
        <f>G68</f>
        <v>4040</v>
      </c>
    </row>
    <row r="68" spans="1:7" s="24" customFormat="1" ht="30" x14ac:dyDescent="0.2">
      <c r="A68" s="44" t="s">
        <v>102</v>
      </c>
      <c r="B68" s="3" t="s">
        <v>278</v>
      </c>
      <c r="C68" s="19" t="s">
        <v>7</v>
      </c>
      <c r="D68" s="19" t="s">
        <v>17</v>
      </c>
      <c r="E68" s="3" t="s">
        <v>326</v>
      </c>
      <c r="F68" s="19" t="s">
        <v>101</v>
      </c>
      <c r="G68" s="28">
        <v>4040</v>
      </c>
    </row>
    <row r="69" spans="1:7" s="24" customFormat="1" x14ac:dyDescent="0.2">
      <c r="A69" s="44" t="s">
        <v>521</v>
      </c>
      <c r="B69" s="3" t="s">
        <v>278</v>
      </c>
      <c r="C69" s="19" t="s">
        <v>7</v>
      </c>
      <c r="D69" s="19" t="s">
        <v>520</v>
      </c>
      <c r="E69" s="19"/>
      <c r="F69" s="19"/>
      <c r="G69" s="28">
        <f>G70</f>
        <v>17150.599999999999</v>
      </c>
    </row>
    <row r="70" spans="1:7" s="24" customFormat="1" ht="30" x14ac:dyDescent="0.2">
      <c r="A70" s="45" t="s">
        <v>100</v>
      </c>
      <c r="B70" s="3" t="s">
        <v>278</v>
      </c>
      <c r="C70" s="3" t="s">
        <v>7</v>
      </c>
      <c r="D70" s="3" t="s">
        <v>520</v>
      </c>
      <c r="E70" s="19" t="s">
        <v>126</v>
      </c>
      <c r="F70" s="3"/>
      <c r="G70" s="32">
        <f>G71</f>
        <v>17150.599999999999</v>
      </c>
    </row>
    <row r="71" spans="1:7" s="24" customFormat="1" x14ac:dyDescent="0.2">
      <c r="A71" s="44" t="s">
        <v>563</v>
      </c>
      <c r="B71" s="3" t="s">
        <v>278</v>
      </c>
      <c r="C71" s="3" t="s">
        <v>7</v>
      </c>
      <c r="D71" s="3" t="s">
        <v>520</v>
      </c>
      <c r="E71" s="19" t="s">
        <v>562</v>
      </c>
      <c r="F71" s="3"/>
      <c r="G71" s="32">
        <f>G72</f>
        <v>17150.599999999999</v>
      </c>
    </row>
    <row r="72" spans="1:7" s="24" customFormat="1" ht="30" x14ac:dyDescent="0.2">
      <c r="A72" s="44" t="s">
        <v>102</v>
      </c>
      <c r="B72" s="3" t="s">
        <v>278</v>
      </c>
      <c r="C72" s="3" t="s">
        <v>7</v>
      </c>
      <c r="D72" s="3" t="s">
        <v>520</v>
      </c>
      <c r="E72" s="19" t="s">
        <v>562</v>
      </c>
      <c r="F72" s="3" t="s">
        <v>101</v>
      </c>
      <c r="G72" s="32">
        <f>8575.3+8575.3</f>
        <v>17150.599999999999</v>
      </c>
    </row>
    <row r="73" spans="1:7" s="24" customFormat="1" x14ac:dyDescent="0.2">
      <c r="A73" s="1" t="s">
        <v>22</v>
      </c>
      <c r="B73" s="3" t="s">
        <v>278</v>
      </c>
      <c r="C73" s="3" t="s">
        <v>9</v>
      </c>
      <c r="D73" s="3"/>
      <c r="E73" s="19"/>
      <c r="F73" s="19"/>
      <c r="G73" s="31">
        <f>G74+G81</f>
        <v>179012</v>
      </c>
    </row>
    <row r="74" spans="1:7" s="24" customFormat="1" x14ac:dyDescent="0.2">
      <c r="A74" s="1" t="s">
        <v>23</v>
      </c>
      <c r="B74" s="3" t="s">
        <v>278</v>
      </c>
      <c r="C74" s="3" t="s">
        <v>9</v>
      </c>
      <c r="D74" s="3" t="s">
        <v>6</v>
      </c>
      <c r="E74" s="19"/>
      <c r="F74" s="19"/>
      <c r="G74" s="31">
        <f>G75</f>
        <v>1802.7</v>
      </c>
    </row>
    <row r="75" spans="1:7" s="24" customFormat="1" ht="30" x14ac:dyDescent="0.2">
      <c r="A75" s="59" t="s">
        <v>395</v>
      </c>
      <c r="B75" s="3" t="s">
        <v>278</v>
      </c>
      <c r="C75" s="3" t="s">
        <v>9</v>
      </c>
      <c r="D75" s="3" t="s">
        <v>6</v>
      </c>
      <c r="E75" s="3" t="s">
        <v>396</v>
      </c>
      <c r="F75" s="19"/>
      <c r="G75" s="60">
        <f>G76</f>
        <v>1802.7</v>
      </c>
    </row>
    <row r="76" spans="1:7" s="24" customFormat="1" ht="30" x14ac:dyDescent="0.2">
      <c r="A76" s="18" t="s">
        <v>401</v>
      </c>
      <c r="B76" s="3" t="s">
        <v>278</v>
      </c>
      <c r="C76" s="19" t="s">
        <v>9</v>
      </c>
      <c r="D76" s="19" t="s">
        <v>6</v>
      </c>
      <c r="E76" s="3" t="s">
        <v>397</v>
      </c>
      <c r="F76" s="19"/>
      <c r="G76" s="28">
        <f>G77+G79</f>
        <v>1802.7</v>
      </c>
    </row>
    <row r="77" spans="1:7" s="24" customFormat="1" ht="30" x14ac:dyDescent="0.2">
      <c r="A77" s="18" t="s">
        <v>402</v>
      </c>
      <c r="B77" s="3" t="s">
        <v>278</v>
      </c>
      <c r="C77" s="19" t="s">
        <v>9</v>
      </c>
      <c r="D77" s="19" t="s">
        <v>6</v>
      </c>
      <c r="E77" s="3" t="s">
        <v>403</v>
      </c>
      <c r="F77" s="19"/>
      <c r="G77" s="28">
        <f>G78</f>
        <v>1742.7</v>
      </c>
    </row>
    <row r="78" spans="1:7" s="24" customFormat="1" ht="30" x14ac:dyDescent="0.2">
      <c r="A78" s="44" t="s">
        <v>102</v>
      </c>
      <c r="B78" s="3" t="s">
        <v>278</v>
      </c>
      <c r="C78" s="19" t="s">
        <v>9</v>
      </c>
      <c r="D78" s="19" t="s">
        <v>6</v>
      </c>
      <c r="E78" s="3" t="s">
        <v>403</v>
      </c>
      <c r="F78" s="19" t="s">
        <v>101</v>
      </c>
      <c r="G78" s="28">
        <v>1742.7</v>
      </c>
    </row>
    <row r="79" spans="1:7" s="24" customFormat="1" x14ac:dyDescent="0.2">
      <c r="A79" s="44" t="s">
        <v>702</v>
      </c>
      <c r="B79" s="3" t="s">
        <v>278</v>
      </c>
      <c r="C79" s="19" t="s">
        <v>9</v>
      </c>
      <c r="D79" s="19" t="s">
        <v>6</v>
      </c>
      <c r="E79" s="3" t="s">
        <v>703</v>
      </c>
      <c r="F79" s="19"/>
      <c r="G79" s="28">
        <f>G80</f>
        <v>60</v>
      </c>
    </row>
    <row r="80" spans="1:7" s="24" customFormat="1" ht="30" x14ac:dyDescent="0.2">
      <c r="A80" s="44" t="s">
        <v>102</v>
      </c>
      <c r="B80" s="3" t="s">
        <v>278</v>
      </c>
      <c r="C80" s="19" t="s">
        <v>9</v>
      </c>
      <c r="D80" s="19" t="s">
        <v>6</v>
      </c>
      <c r="E80" s="3" t="s">
        <v>703</v>
      </c>
      <c r="F80" s="19" t="s">
        <v>101</v>
      </c>
      <c r="G80" s="28">
        <v>60</v>
      </c>
    </row>
    <row r="81" spans="1:7" s="24" customFormat="1" x14ac:dyDescent="0.2">
      <c r="A81" s="9" t="s">
        <v>43</v>
      </c>
      <c r="B81" s="3" t="s">
        <v>278</v>
      </c>
      <c r="C81" s="10" t="s">
        <v>9</v>
      </c>
      <c r="D81" s="10" t="s">
        <v>15</v>
      </c>
      <c r="E81" s="3"/>
      <c r="F81" s="10"/>
      <c r="G81" s="32">
        <f>G85+G82</f>
        <v>177209.3</v>
      </c>
    </row>
    <row r="82" spans="1:7" s="24" customFormat="1" x14ac:dyDescent="0.2">
      <c r="A82" s="20" t="s">
        <v>115</v>
      </c>
      <c r="B82" s="48">
        <v>801</v>
      </c>
      <c r="C82" s="19" t="s">
        <v>9</v>
      </c>
      <c r="D82" s="19" t="s">
        <v>15</v>
      </c>
      <c r="E82" s="19" t="s">
        <v>122</v>
      </c>
      <c r="F82" s="26"/>
      <c r="G82" s="32">
        <f>G83</f>
        <v>100000</v>
      </c>
    </row>
    <row r="83" spans="1:7" s="24" customFormat="1" ht="30" x14ac:dyDescent="0.2">
      <c r="A83" s="20" t="s">
        <v>329</v>
      </c>
      <c r="B83" s="48">
        <v>801</v>
      </c>
      <c r="C83" s="19" t="s">
        <v>9</v>
      </c>
      <c r="D83" s="19" t="s">
        <v>15</v>
      </c>
      <c r="E83" s="19" t="s">
        <v>669</v>
      </c>
      <c r="F83" s="26"/>
      <c r="G83" s="32">
        <f>G84</f>
        <v>100000</v>
      </c>
    </row>
    <row r="84" spans="1:7" s="24" customFormat="1" ht="30" x14ac:dyDescent="0.2">
      <c r="A84" s="20" t="s">
        <v>102</v>
      </c>
      <c r="B84" s="48">
        <v>801</v>
      </c>
      <c r="C84" s="19" t="s">
        <v>9</v>
      </c>
      <c r="D84" s="19" t="s">
        <v>15</v>
      </c>
      <c r="E84" s="19" t="s">
        <v>669</v>
      </c>
      <c r="F84" s="23" t="s">
        <v>101</v>
      </c>
      <c r="G84" s="32">
        <v>100000</v>
      </c>
    </row>
    <row r="85" spans="1:7" s="24" customFormat="1" ht="30" x14ac:dyDescent="0.2">
      <c r="A85" s="1" t="s">
        <v>127</v>
      </c>
      <c r="B85" s="3" t="s">
        <v>278</v>
      </c>
      <c r="C85" s="10" t="s">
        <v>9</v>
      </c>
      <c r="D85" s="10" t="s">
        <v>15</v>
      </c>
      <c r="E85" s="3" t="s">
        <v>128</v>
      </c>
      <c r="F85" s="7"/>
      <c r="G85" s="32">
        <f>G86</f>
        <v>77209.3</v>
      </c>
    </row>
    <row r="86" spans="1:7" s="24" customFormat="1" ht="30" x14ac:dyDescent="0.2">
      <c r="A86" s="1" t="s">
        <v>331</v>
      </c>
      <c r="B86" s="3" t="s">
        <v>278</v>
      </c>
      <c r="C86" s="10" t="s">
        <v>9</v>
      </c>
      <c r="D86" s="10" t="s">
        <v>15</v>
      </c>
      <c r="E86" s="3" t="s">
        <v>129</v>
      </c>
      <c r="F86" s="7"/>
      <c r="G86" s="32">
        <f>G87+G89</f>
        <v>77209.3</v>
      </c>
    </row>
    <row r="87" spans="1:7" s="24" customFormat="1" x14ac:dyDescent="0.2">
      <c r="A87" s="51" t="s">
        <v>327</v>
      </c>
      <c r="B87" s="3" t="s">
        <v>278</v>
      </c>
      <c r="C87" s="23" t="s">
        <v>9</v>
      </c>
      <c r="D87" s="23" t="s">
        <v>15</v>
      </c>
      <c r="E87" s="3" t="s">
        <v>328</v>
      </c>
      <c r="F87" s="10"/>
      <c r="G87" s="32">
        <f>G88</f>
        <v>42841.200000000004</v>
      </c>
    </row>
    <row r="88" spans="1:7" s="24" customFormat="1" ht="30" x14ac:dyDescent="0.2">
      <c r="A88" s="44" t="s">
        <v>102</v>
      </c>
      <c r="B88" s="3" t="s">
        <v>278</v>
      </c>
      <c r="C88" s="23" t="s">
        <v>9</v>
      </c>
      <c r="D88" s="23" t="s">
        <v>15</v>
      </c>
      <c r="E88" s="3" t="s">
        <v>328</v>
      </c>
      <c r="F88" s="10" t="s">
        <v>101</v>
      </c>
      <c r="G88" s="32">
        <f>50500-772.2+20000-26886.6</f>
        <v>42841.200000000004</v>
      </c>
    </row>
    <row r="89" spans="1:7" s="24" customFormat="1" ht="30" x14ac:dyDescent="0.2">
      <c r="A89" s="9" t="s">
        <v>329</v>
      </c>
      <c r="B89" s="3" t="s">
        <v>278</v>
      </c>
      <c r="C89" s="23" t="s">
        <v>9</v>
      </c>
      <c r="D89" s="23" t="s">
        <v>15</v>
      </c>
      <c r="E89" s="3" t="s">
        <v>330</v>
      </c>
      <c r="F89" s="10"/>
      <c r="G89" s="32">
        <f>G90</f>
        <v>34368.1</v>
      </c>
    </row>
    <row r="90" spans="1:7" s="24" customFormat="1" ht="30" x14ac:dyDescent="0.2">
      <c r="A90" s="44" t="s">
        <v>102</v>
      </c>
      <c r="B90" s="3" t="s">
        <v>278</v>
      </c>
      <c r="C90" s="23" t="s">
        <v>9</v>
      </c>
      <c r="D90" s="23" t="s">
        <v>15</v>
      </c>
      <c r="E90" s="3" t="s">
        <v>330</v>
      </c>
      <c r="F90" s="10" t="s">
        <v>101</v>
      </c>
      <c r="G90" s="32">
        <f>16487.8+2000+15880.3</f>
        <v>34368.1</v>
      </c>
    </row>
    <row r="91" spans="1:7" ht="30" x14ac:dyDescent="0.2">
      <c r="A91" s="45" t="s">
        <v>83</v>
      </c>
      <c r="B91" s="3" t="s">
        <v>278</v>
      </c>
      <c r="C91" s="3" t="s">
        <v>10</v>
      </c>
      <c r="D91" s="3" t="s">
        <v>15</v>
      </c>
      <c r="E91" s="3"/>
      <c r="F91" s="3"/>
      <c r="G91" s="32">
        <f>G92</f>
        <v>11748.1</v>
      </c>
    </row>
    <row r="92" spans="1:7" s="24" customFormat="1" ht="45" x14ac:dyDescent="0.2">
      <c r="A92" s="1" t="s">
        <v>483</v>
      </c>
      <c r="B92" s="3" t="s">
        <v>278</v>
      </c>
      <c r="C92" s="10" t="s">
        <v>10</v>
      </c>
      <c r="D92" s="10" t="s">
        <v>15</v>
      </c>
      <c r="E92" s="3" t="s">
        <v>487</v>
      </c>
      <c r="F92" s="3"/>
      <c r="G92" s="32">
        <f>G93</f>
        <v>11748.1</v>
      </c>
    </row>
    <row r="93" spans="1:7" s="24" customFormat="1" ht="30" x14ac:dyDescent="0.2">
      <c r="A93" s="1" t="s">
        <v>484</v>
      </c>
      <c r="B93" s="3" t="s">
        <v>278</v>
      </c>
      <c r="C93" s="10" t="s">
        <v>10</v>
      </c>
      <c r="D93" s="10" t="s">
        <v>15</v>
      </c>
      <c r="E93" s="3" t="s">
        <v>488</v>
      </c>
      <c r="F93" s="3"/>
      <c r="G93" s="32">
        <f>G94</f>
        <v>11748.1</v>
      </c>
    </row>
    <row r="94" spans="1:7" s="24" customFormat="1" x14ac:dyDescent="0.2">
      <c r="A94" s="1" t="s">
        <v>485</v>
      </c>
      <c r="B94" s="3" t="s">
        <v>278</v>
      </c>
      <c r="C94" s="10" t="s">
        <v>10</v>
      </c>
      <c r="D94" s="10" t="s">
        <v>15</v>
      </c>
      <c r="E94" s="3" t="s">
        <v>489</v>
      </c>
      <c r="F94" s="3"/>
      <c r="G94" s="32">
        <f>G95</f>
        <v>11748.1</v>
      </c>
    </row>
    <row r="95" spans="1:7" s="24" customFormat="1" x14ac:dyDescent="0.2">
      <c r="A95" s="45" t="s">
        <v>486</v>
      </c>
      <c r="B95" s="3" t="s">
        <v>278</v>
      </c>
      <c r="C95" s="3" t="s">
        <v>10</v>
      </c>
      <c r="D95" s="3" t="s">
        <v>15</v>
      </c>
      <c r="E95" s="3" t="s">
        <v>490</v>
      </c>
      <c r="F95" s="3"/>
      <c r="G95" s="32">
        <f>G96</f>
        <v>11748.1</v>
      </c>
    </row>
    <row r="96" spans="1:7" s="24" customFormat="1" ht="30" x14ac:dyDescent="0.2">
      <c r="A96" s="44" t="s">
        <v>102</v>
      </c>
      <c r="B96" s="3" t="s">
        <v>278</v>
      </c>
      <c r="C96" s="3" t="s">
        <v>10</v>
      </c>
      <c r="D96" s="3" t="s">
        <v>15</v>
      </c>
      <c r="E96" s="3" t="s">
        <v>490</v>
      </c>
      <c r="F96" s="3" t="s">
        <v>101</v>
      </c>
      <c r="G96" s="32">
        <v>11748.1</v>
      </c>
    </row>
    <row r="97" spans="1:7" s="24" customFormat="1" x14ac:dyDescent="0.2">
      <c r="A97" s="1" t="s">
        <v>29</v>
      </c>
      <c r="B97" s="3" t="s">
        <v>278</v>
      </c>
      <c r="C97" s="19" t="s">
        <v>30</v>
      </c>
      <c r="D97" s="19"/>
      <c r="E97" s="3"/>
      <c r="F97" s="19"/>
      <c r="G97" s="47">
        <f>G98+G102</f>
        <v>840300.89999999991</v>
      </c>
    </row>
    <row r="98" spans="1:7" s="24" customFormat="1" x14ac:dyDescent="0.2">
      <c r="A98" s="1" t="s">
        <v>33</v>
      </c>
      <c r="B98" s="3" t="s">
        <v>278</v>
      </c>
      <c r="C98" s="3" t="s">
        <v>30</v>
      </c>
      <c r="D98" s="3" t="s">
        <v>30</v>
      </c>
      <c r="E98" s="3"/>
      <c r="F98" s="19"/>
      <c r="G98" s="47">
        <f>G99</f>
        <v>3000</v>
      </c>
    </row>
    <row r="99" spans="1:7" s="24" customFormat="1" x14ac:dyDescent="0.2">
      <c r="A99" s="9" t="s">
        <v>115</v>
      </c>
      <c r="B99" s="3" t="s">
        <v>278</v>
      </c>
      <c r="C99" s="19" t="s">
        <v>30</v>
      </c>
      <c r="D99" s="19" t="s">
        <v>30</v>
      </c>
      <c r="E99" s="3" t="s">
        <v>122</v>
      </c>
      <c r="F99" s="19"/>
      <c r="G99" s="28">
        <f>G100</f>
        <v>3000</v>
      </c>
    </row>
    <row r="100" spans="1:7" s="24" customFormat="1" x14ac:dyDescent="0.2">
      <c r="A100" s="9" t="s">
        <v>132</v>
      </c>
      <c r="B100" s="3" t="s">
        <v>278</v>
      </c>
      <c r="C100" s="19" t="s">
        <v>30</v>
      </c>
      <c r="D100" s="19" t="s">
        <v>30</v>
      </c>
      <c r="E100" s="3" t="s">
        <v>322</v>
      </c>
      <c r="F100" s="19"/>
      <c r="G100" s="28">
        <f>G101</f>
        <v>3000</v>
      </c>
    </row>
    <row r="101" spans="1:7" s="24" customFormat="1" ht="30" x14ac:dyDescent="0.2">
      <c r="A101" s="44" t="s">
        <v>102</v>
      </c>
      <c r="B101" s="3" t="s">
        <v>278</v>
      </c>
      <c r="C101" s="19" t="s">
        <v>30</v>
      </c>
      <c r="D101" s="19" t="s">
        <v>30</v>
      </c>
      <c r="E101" s="3" t="s">
        <v>322</v>
      </c>
      <c r="F101" s="19" t="s">
        <v>101</v>
      </c>
      <c r="G101" s="28">
        <v>3000</v>
      </c>
    </row>
    <row r="102" spans="1:7" x14ac:dyDescent="0.2">
      <c r="A102" s="1" t="s">
        <v>34</v>
      </c>
      <c r="B102" s="3" t="s">
        <v>278</v>
      </c>
      <c r="C102" s="3" t="s">
        <v>30</v>
      </c>
      <c r="D102" s="3" t="s">
        <v>17</v>
      </c>
      <c r="E102" s="3"/>
      <c r="F102" s="3"/>
      <c r="G102" s="32">
        <f>G103</f>
        <v>837300.89999999991</v>
      </c>
    </row>
    <row r="103" spans="1:7" x14ac:dyDescent="0.2">
      <c r="A103" s="9" t="s">
        <v>115</v>
      </c>
      <c r="B103" s="3" t="s">
        <v>278</v>
      </c>
      <c r="C103" s="19" t="s">
        <v>30</v>
      </c>
      <c r="D103" s="19" t="s">
        <v>17</v>
      </c>
      <c r="E103" s="19" t="s">
        <v>122</v>
      </c>
      <c r="F103" s="19"/>
      <c r="G103" s="28">
        <f>G104+G107</f>
        <v>837300.89999999991</v>
      </c>
    </row>
    <row r="104" spans="1:7" ht="30" x14ac:dyDescent="0.2">
      <c r="A104" s="9" t="s">
        <v>639</v>
      </c>
      <c r="B104" s="3" t="s">
        <v>278</v>
      </c>
      <c r="C104" s="19" t="s">
        <v>30</v>
      </c>
      <c r="D104" s="19" t="s">
        <v>17</v>
      </c>
      <c r="E104" s="19" t="s">
        <v>632</v>
      </c>
      <c r="F104" s="19"/>
      <c r="G104" s="28">
        <f>G105+G106</f>
        <v>800053.29999999993</v>
      </c>
    </row>
    <row r="105" spans="1:7" ht="60" x14ac:dyDescent="0.2">
      <c r="A105" s="44" t="s">
        <v>108</v>
      </c>
      <c r="B105" s="3" t="s">
        <v>278</v>
      </c>
      <c r="C105" s="19" t="s">
        <v>30</v>
      </c>
      <c r="D105" s="19" t="s">
        <v>17</v>
      </c>
      <c r="E105" s="19" t="s">
        <v>632</v>
      </c>
      <c r="F105" s="19" t="s">
        <v>103</v>
      </c>
      <c r="G105" s="28">
        <v>29079.9</v>
      </c>
    </row>
    <row r="106" spans="1:7" ht="30" x14ac:dyDescent="0.2">
      <c r="A106" s="20" t="s">
        <v>112</v>
      </c>
      <c r="B106" s="3" t="s">
        <v>278</v>
      </c>
      <c r="C106" s="19" t="s">
        <v>30</v>
      </c>
      <c r="D106" s="19" t="s">
        <v>17</v>
      </c>
      <c r="E106" s="19" t="s">
        <v>632</v>
      </c>
      <c r="F106" s="19" t="s">
        <v>107</v>
      </c>
      <c r="G106" s="28">
        <f>715491.7+55481.7</f>
        <v>770973.39999999991</v>
      </c>
    </row>
    <row r="107" spans="1:7" x14ac:dyDescent="0.2">
      <c r="A107" s="20" t="s">
        <v>435</v>
      </c>
      <c r="B107" s="3" t="s">
        <v>278</v>
      </c>
      <c r="C107" s="19" t="s">
        <v>30</v>
      </c>
      <c r="D107" s="19" t="s">
        <v>17</v>
      </c>
      <c r="E107" s="19" t="s">
        <v>133</v>
      </c>
      <c r="F107" s="19"/>
      <c r="G107" s="28">
        <f>G108</f>
        <v>37247.599999999999</v>
      </c>
    </row>
    <row r="108" spans="1:7" ht="30" x14ac:dyDescent="0.2">
      <c r="A108" s="20" t="s">
        <v>112</v>
      </c>
      <c r="B108" s="3" t="s">
        <v>278</v>
      </c>
      <c r="C108" s="19" t="s">
        <v>30</v>
      </c>
      <c r="D108" s="19" t="s">
        <v>17</v>
      </c>
      <c r="E108" s="19" t="s">
        <v>133</v>
      </c>
      <c r="F108" s="19" t="s">
        <v>107</v>
      </c>
      <c r="G108" s="28">
        <f>41845.9-4598.3</f>
        <v>37247.599999999999</v>
      </c>
    </row>
    <row r="109" spans="1:7" x14ac:dyDescent="0.2">
      <c r="A109" s="9" t="s">
        <v>182</v>
      </c>
      <c r="B109" s="3" t="s">
        <v>278</v>
      </c>
      <c r="C109" s="3" t="s">
        <v>21</v>
      </c>
      <c r="D109" s="3"/>
      <c r="E109" s="3"/>
      <c r="F109" s="3"/>
      <c r="G109" s="32">
        <f>G110</f>
        <v>46316.4</v>
      </c>
    </row>
    <row r="110" spans="1:7" x14ac:dyDescent="0.2">
      <c r="A110" s="1" t="s">
        <v>183</v>
      </c>
      <c r="B110" s="5">
        <v>801</v>
      </c>
      <c r="C110" s="3" t="s">
        <v>21</v>
      </c>
      <c r="D110" s="3" t="s">
        <v>6</v>
      </c>
      <c r="E110" s="19"/>
      <c r="F110" s="19"/>
      <c r="G110" s="28">
        <f>G111</f>
        <v>46316.4</v>
      </c>
    </row>
    <row r="111" spans="1:7" x14ac:dyDescent="0.2">
      <c r="A111" s="9" t="s">
        <v>115</v>
      </c>
      <c r="B111" s="3" t="s">
        <v>278</v>
      </c>
      <c r="C111" s="3" t="s">
        <v>21</v>
      </c>
      <c r="D111" s="3" t="s">
        <v>6</v>
      </c>
      <c r="E111" s="3" t="s">
        <v>122</v>
      </c>
      <c r="F111" s="3"/>
      <c r="G111" s="28">
        <f>G112</f>
        <v>46316.4</v>
      </c>
    </row>
    <row r="112" spans="1:7" x14ac:dyDescent="0.2">
      <c r="A112" s="20" t="s">
        <v>700</v>
      </c>
      <c r="B112" s="3" t="s">
        <v>278</v>
      </c>
      <c r="C112" s="3" t="s">
        <v>21</v>
      </c>
      <c r="D112" s="3" t="s">
        <v>6</v>
      </c>
      <c r="E112" s="19" t="s">
        <v>701</v>
      </c>
      <c r="F112" s="3"/>
      <c r="G112" s="28">
        <f>G113</f>
        <v>46316.4</v>
      </c>
    </row>
    <row r="113" spans="1:7" ht="30" x14ac:dyDescent="0.2">
      <c r="A113" s="44" t="s">
        <v>102</v>
      </c>
      <c r="B113" s="3" t="s">
        <v>278</v>
      </c>
      <c r="C113" s="3" t="s">
        <v>21</v>
      </c>
      <c r="D113" s="3" t="s">
        <v>6</v>
      </c>
      <c r="E113" s="19" t="s">
        <v>701</v>
      </c>
      <c r="F113" s="3" t="s">
        <v>101</v>
      </c>
      <c r="G113" s="28">
        <v>46316.4</v>
      </c>
    </row>
    <row r="114" spans="1:7" x14ac:dyDescent="0.2">
      <c r="A114" s="9" t="s">
        <v>35</v>
      </c>
      <c r="B114" s="3" t="s">
        <v>278</v>
      </c>
      <c r="C114" s="3" t="s">
        <v>36</v>
      </c>
      <c r="D114" s="3"/>
      <c r="E114" s="3"/>
      <c r="F114" s="3"/>
      <c r="G114" s="8">
        <f>G115+G119</f>
        <v>16252.3</v>
      </c>
    </row>
    <row r="115" spans="1:7" x14ac:dyDescent="0.2">
      <c r="A115" s="9" t="s">
        <v>37</v>
      </c>
      <c r="B115" s="3" t="s">
        <v>278</v>
      </c>
      <c r="C115" s="3" t="s">
        <v>36</v>
      </c>
      <c r="D115" s="3" t="s">
        <v>6</v>
      </c>
      <c r="E115" s="3"/>
      <c r="F115" s="3"/>
      <c r="G115" s="8">
        <f>G116</f>
        <v>10692.3</v>
      </c>
    </row>
    <row r="116" spans="1:7" x14ac:dyDescent="0.2">
      <c r="A116" s="9" t="s">
        <v>115</v>
      </c>
      <c r="B116" s="3" t="s">
        <v>278</v>
      </c>
      <c r="C116" s="3" t="s">
        <v>36</v>
      </c>
      <c r="D116" s="3" t="s">
        <v>6</v>
      </c>
      <c r="E116" s="3" t="s">
        <v>122</v>
      </c>
      <c r="F116" s="3"/>
      <c r="G116" s="8">
        <f>G117</f>
        <v>10692.3</v>
      </c>
    </row>
    <row r="117" spans="1:7" ht="30" x14ac:dyDescent="0.2">
      <c r="A117" s="45" t="s">
        <v>40</v>
      </c>
      <c r="B117" s="3" t="s">
        <v>278</v>
      </c>
      <c r="C117" s="3" t="s">
        <v>36</v>
      </c>
      <c r="D117" s="3" t="s">
        <v>6</v>
      </c>
      <c r="E117" s="3" t="s">
        <v>134</v>
      </c>
      <c r="F117" s="3"/>
      <c r="G117" s="8">
        <f>G118</f>
        <v>10692.3</v>
      </c>
    </row>
    <row r="118" spans="1:7" x14ac:dyDescent="0.2">
      <c r="A118" s="9" t="s">
        <v>111</v>
      </c>
      <c r="B118" s="3" t="s">
        <v>278</v>
      </c>
      <c r="C118" s="3" t="s">
        <v>36</v>
      </c>
      <c r="D118" s="3" t="s">
        <v>6</v>
      </c>
      <c r="E118" s="3" t="s">
        <v>134</v>
      </c>
      <c r="F118" s="3" t="s">
        <v>105</v>
      </c>
      <c r="G118" s="8">
        <v>10692.3</v>
      </c>
    </row>
    <row r="119" spans="1:7" x14ac:dyDescent="0.2">
      <c r="A119" s="9" t="s">
        <v>95</v>
      </c>
      <c r="B119" s="3" t="s">
        <v>278</v>
      </c>
      <c r="C119" s="3" t="s">
        <v>36</v>
      </c>
      <c r="D119" s="3" t="s">
        <v>15</v>
      </c>
      <c r="E119" s="3"/>
      <c r="F119" s="3"/>
      <c r="G119" s="8">
        <f>G120</f>
        <v>5560</v>
      </c>
    </row>
    <row r="120" spans="1:7" x14ac:dyDescent="0.2">
      <c r="A120" s="9" t="s">
        <v>115</v>
      </c>
      <c r="B120" s="5">
        <v>801</v>
      </c>
      <c r="C120" s="3" t="s">
        <v>36</v>
      </c>
      <c r="D120" s="3" t="s">
        <v>15</v>
      </c>
      <c r="E120" s="3" t="s">
        <v>122</v>
      </c>
      <c r="F120" s="19"/>
      <c r="G120" s="28">
        <f>G121</f>
        <v>5560</v>
      </c>
    </row>
    <row r="121" spans="1:7" ht="30" x14ac:dyDescent="0.2">
      <c r="A121" s="44" t="s">
        <v>264</v>
      </c>
      <c r="B121" s="5">
        <v>801</v>
      </c>
      <c r="C121" s="19" t="s">
        <v>36</v>
      </c>
      <c r="D121" s="19" t="s">
        <v>15</v>
      </c>
      <c r="E121" s="58" t="s">
        <v>817</v>
      </c>
      <c r="F121" s="19"/>
      <c r="G121" s="28">
        <f>G122</f>
        <v>5560</v>
      </c>
    </row>
    <row r="122" spans="1:7" x14ac:dyDescent="0.2">
      <c r="A122" s="44" t="s">
        <v>109</v>
      </c>
      <c r="B122" s="5">
        <v>801</v>
      </c>
      <c r="C122" s="19" t="s">
        <v>36</v>
      </c>
      <c r="D122" s="19" t="s">
        <v>15</v>
      </c>
      <c r="E122" s="58" t="s">
        <v>817</v>
      </c>
      <c r="F122" s="19" t="s">
        <v>104</v>
      </c>
      <c r="G122" s="28">
        <v>5560</v>
      </c>
    </row>
    <row r="123" spans="1:7" x14ac:dyDescent="0.2">
      <c r="A123" s="1" t="s">
        <v>28</v>
      </c>
      <c r="B123" s="3" t="s">
        <v>278</v>
      </c>
      <c r="C123" s="3" t="s">
        <v>47</v>
      </c>
      <c r="D123" s="3"/>
      <c r="E123" s="3"/>
      <c r="F123" s="3"/>
      <c r="G123" s="32">
        <f>G124</f>
        <v>20000</v>
      </c>
    </row>
    <row r="124" spans="1:7" x14ac:dyDescent="0.2">
      <c r="A124" s="68" t="s">
        <v>52</v>
      </c>
      <c r="B124" s="3" t="s">
        <v>278</v>
      </c>
      <c r="C124" s="3" t="s">
        <v>47</v>
      </c>
      <c r="D124" s="3" t="s">
        <v>16</v>
      </c>
      <c r="E124" s="3"/>
      <c r="F124" s="3"/>
      <c r="G124" s="32">
        <f>G125</f>
        <v>20000</v>
      </c>
    </row>
    <row r="125" spans="1:7" x14ac:dyDescent="0.2">
      <c r="A125" s="9" t="s">
        <v>115</v>
      </c>
      <c r="B125" s="3" t="s">
        <v>278</v>
      </c>
      <c r="C125" s="19" t="s">
        <v>47</v>
      </c>
      <c r="D125" s="19" t="s">
        <v>16</v>
      </c>
      <c r="E125" s="3" t="s">
        <v>122</v>
      </c>
      <c r="F125" s="19"/>
      <c r="G125" s="47">
        <f>G126</f>
        <v>20000</v>
      </c>
    </row>
    <row r="126" spans="1:7" ht="30" x14ac:dyDescent="0.2">
      <c r="A126" s="44" t="s">
        <v>135</v>
      </c>
      <c r="B126" s="3" t="s">
        <v>278</v>
      </c>
      <c r="C126" s="19" t="s">
        <v>47</v>
      </c>
      <c r="D126" s="19" t="s">
        <v>16</v>
      </c>
      <c r="E126" s="3" t="s">
        <v>136</v>
      </c>
      <c r="F126" s="19"/>
      <c r="G126" s="47">
        <f>G127</f>
        <v>20000</v>
      </c>
    </row>
    <row r="127" spans="1:7" ht="30" x14ac:dyDescent="0.2">
      <c r="A127" s="44" t="s">
        <v>102</v>
      </c>
      <c r="B127" s="3" t="s">
        <v>278</v>
      </c>
      <c r="C127" s="19" t="s">
        <v>47</v>
      </c>
      <c r="D127" s="19" t="s">
        <v>16</v>
      </c>
      <c r="E127" s="3" t="s">
        <v>136</v>
      </c>
      <c r="F127" s="19" t="s">
        <v>101</v>
      </c>
      <c r="G127" s="47">
        <v>20000</v>
      </c>
    </row>
    <row r="128" spans="1:7" x14ac:dyDescent="0.2">
      <c r="A128" s="1" t="s">
        <v>11</v>
      </c>
      <c r="B128" s="3" t="s">
        <v>278</v>
      </c>
      <c r="C128" s="3" t="s">
        <v>50</v>
      </c>
      <c r="D128" s="3"/>
      <c r="E128" s="3"/>
      <c r="F128" s="3"/>
      <c r="G128" s="31">
        <f>G129</f>
        <v>407843.3</v>
      </c>
    </row>
    <row r="129" spans="1:7" ht="30" x14ac:dyDescent="0.2">
      <c r="A129" s="1" t="s">
        <v>51</v>
      </c>
      <c r="B129" s="3" t="s">
        <v>278</v>
      </c>
      <c r="C129" s="3" t="s">
        <v>50</v>
      </c>
      <c r="D129" s="3" t="s">
        <v>6</v>
      </c>
      <c r="E129" s="3"/>
      <c r="F129" s="3"/>
      <c r="G129" s="31">
        <f>G130</f>
        <v>407843.3</v>
      </c>
    </row>
    <row r="130" spans="1:7" x14ac:dyDescent="0.2">
      <c r="A130" s="1" t="s">
        <v>115</v>
      </c>
      <c r="B130" s="3" t="s">
        <v>278</v>
      </c>
      <c r="C130" s="3" t="s">
        <v>50</v>
      </c>
      <c r="D130" s="3" t="s">
        <v>6</v>
      </c>
      <c r="E130" s="3" t="s">
        <v>122</v>
      </c>
      <c r="F130" s="3"/>
      <c r="G130" s="31">
        <f>G131</f>
        <v>407843.3</v>
      </c>
    </row>
    <row r="131" spans="1:7" x14ac:dyDescent="0.2">
      <c r="A131" s="44" t="s">
        <v>12</v>
      </c>
      <c r="B131" s="3" t="s">
        <v>278</v>
      </c>
      <c r="C131" s="3" t="s">
        <v>50</v>
      </c>
      <c r="D131" s="3" t="s">
        <v>6</v>
      </c>
      <c r="E131" s="19" t="s">
        <v>137</v>
      </c>
      <c r="F131" s="19"/>
      <c r="G131" s="47">
        <f>G132</f>
        <v>407843.3</v>
      </c>
    </row>
    <row r="132" spans="1:7" x14ac:dyDescent="0.2">
      <c r="A132" s="44" t="s">
        <v>13</v>
      </c>
      <c r="B132" s="3" t="s">
        <v>278</v>
      </c>
      <c r="C132" s="3" t="s">
        <v>50</v>
      </c>
      <c r="D132" s="3" t="s">
        <v>6</v>
      </c>
      <c r="E132" s="19" t="s">
        <v>138</v>
      </c>
      <c r="F132" s="19"/>
      <c r="G132" s="47">
        <f>G133</f>
        <v>407843.3</v>
      </c>
    </row>
    <row r="133" spans="1:7" x14ac:dyDescent="0.2">
      <c r="A133" s="64" t="s">
        <v>110</v>
      </c>
      <c r="B133" s="3" t="s">
        <v>278</v>
      </c>
      <c r="C133" s="3" t="s">
        <v>50</v>
      </c>
      <c r="D133" s="3" t="s">
        <v>6</v>
      </c>
      <c r="E133" s="19" t="s">
        <v>138</v>
      </c>
      <c r="F133" s="19" t="s">
        <v>106</v>
      </c>
      <c r="G133" s="47">
        <f>567750-113265-46641.7</f>
        <v>407843.3</v>
      </c>
    </row>
    <row r="134" spans="1:7" ht="30" x14ac:dyDescent="0.2">
      <c r="A134" s="68" t="s">
        <v>65</v>
      </c>
      <c r="B134" s="3" t="s">
        <v>278</v>
      </c>
      <c r="C134" s="3" t="s">
        <v>27</v>
      </c>
      <c r="D134" s="3"/>
      <c r="E134" s="3"/>
      <c r="F134" s="75"/>
      <c r="G134" s="32">
        <f>G135</f>
        <v>39759</v>
      </c>
    </row>
    <row r="135" spans="1:7" x14ac:dyDescent="0.2">
      <c r="A135" s="64" t="s">
        <v>474</v>
      </c>
      <c r="B135" s="3" t="s">
        <v>278</v>
      </c>
      <c r="C135" s="3" t="s">
        <v>27</v>
      </c>
      <c r="D135" s="3" t="s">
        <v>15</v>
      </c>
      <c r="E135" s="3"/>
      <c r="F135" s="75"/>
      <c r="G135" s="32">
        <f>G136</f>
        <v>39759</v>
      </c>
    </row>
    <row r="136" spans="1:7" x14ac:dyDescent="0.2">
      <c r="A136" s="1" t="s">
        <v>115</v>
      </c>
      <c r="B136" s="3" t="s">
        <v>278</v>
      </c>
      <c r="C136" s="3" t="s">
        <v>27</v>
      </c>
      <c r="D136" s="3" t="s">
        <v>15</v>
      </c>
      <c r="E136" s="3" t="s">
        <v>122</v>
      </c>
      <c r="F136" s="75"/>
      <c r="G136" s="32">
        <f>G137</f>
        <v>39759</v>
      </c>
    </row>
    <row r="137" spans="1:7" ht="60" x14ac:dyDescent="0.2">
      <c r="A137" s="68" t="s">
        <v>67</v>
      </c>
      <c r="B137" s="3" t="s">
        <v>278</v>
      </c>
      <c r="C137" s="19" t="s">
        <v>27</v>
      </c>
      <c r="D137" s="19" t="s">
        <v>15</v>
      </c>
      <c r="E137" s="19" t="s">
        <v>436</v>
      </c>
      <c r="F137" s="76"/>
      <c r="G137" s="28">
        <f>G138</f>
        <v>39759</v>
      </c>
    </row>
    <row r="138" spans="1:7" x14ac:dyDescent="0.2">
      <c r="A138" s="68" t="s">
        <v>66</v>
      </c>
      <c r="B138" s="3" t="s">
        <v>278</v>
      </c>
      <c r="C138" s="19" t="s">
        <v>27</v>
      </c>
      <c r="D138" s="19" t="s">
        <v>15</v>
      </c>
      <c r="E138" s="19" t="s">
        <v>436</v>
      </c>
      <c r="F138" s="19" t="s">
        <v>454</v>
      </c>
      <c r="G138" s="28">
        <v>39759</v>
      </c>
    </row>
    <row r="139" spans="1:7" x14ac:dyDescent="0.2">
      <c r="A139" s="18"/>
      <c r="B139" s="19"/>
      <c r="C139" s="19"/>
      <c r="D139" s="19"/>
      <c r="E139" s="19"/>
      <c r="F139" s="19"/>
      <c r="G139" s="8"/>
    </row>
    <row r="140" spans="1:7" ht="42.75" x14ac:dyDescent="0.2">
      <c r="A140" s="14" t="s">
        <v>68</v>
      </c>
      <c r="B140" s="12" t="s">
        <v>279</v>
      </c>
      <c r="C140" s="12"/>
      <c r="D140" s="12"/>
      <c r="E140" s="12"/>
      <c r="F140" s="12"/>
      <c r="G140" s="90">
        <f>G141+G199+G206</f>
        <v>719436.83999999985</v>
      </c>
    </row>
    <row r="141" spans="1:7" x14ac:dyDescent="0.2">
      <c r="A141" s="1" t="s">
        <v>5</v>
      </c>
      <c r="B141" s="3" t="s">
        <v>279</v>
      </c>
      <c r="C141" s="3" t="s">
        <v>6</v>
      </c>
      <c r="D141" s="3"/>
      <c r="E141" s="3"/>
      <c r="F141" s="3"/>
      <c r="G141" s="67">
        <f>G142+G148</f>
        <v>581450.6399999999</v>
      </c>
    </row>
    <row r="142" spans="1:7" ht="45" x14ac:dyDescent="0.2">
      <c r="A142" s="9" t="s">
        <v>26</v>
      </c>
      <c r="B142" s="3" t="s">
        <v>279</v>
      </c>
      <c r="C142" s="10" t="s">
        <v>6</v>
      </c>
      <c r="D142" s="10" t="s">
        <v>7</v>
      </c>
      <c r="E142" s="11"/>
      <c r="F142" s="10"/>
      <c r="G142" s="31">
        <f>G143</f>
        <v>229266.3</v>
      </c>
    </row>
    <row r="143" spans="1:7" x14ac:dyDescent="0.2">
      <c r="A143" s="54" t="s">
        <v>115</v>
      </c>
      <c r="B143" s="3" t="s">
        <v>279</v>
      </c>
      <c r="C143" s="55" t="s">
        <v>6</v>
      </c>
      <c r="D143" s="55" t="s">
        <v>7</v>
      </c>
      <c r="E143" s="55" t="s">
        <v>122</v>
      </c>
      <c r="F143" s="3"/>
      <c r="G143" s="47">
        <f>G144</f>
        <v>229266.3</v>
      </c>
    </row>
    <row r="144" spans="1:7" x14ac:dyDescent="0.2">
      <c r="A144" s="20" t="s">
        <v>8</v>
      </c>
      <c r="B144" s="3" t="s">
        <v>279</v>
      </c>
      <c r="C144" s="19" t="s">
        <v>6</v>
      </c>
      <c r="D144" s="55" t="s">
        <v>7</v>
      </c>
      <c r="E144" s="55" t="s">
        <v>123</v>
      </c>
      <c r="F144" s="19"/>
      <c r="G144" s="47">
        <f>SUM(G145:G147)</f>
        <v>229266.3</v>
      </c>
    </row>
    <row r="145" spans="1:7" ht="60" x14ac:dyDescent="0.2">
      <c r="A145" s="44" t="s">
        <v>108</v>
      </c>
      <c r="B145" s="3" t="s">
        <v>279</v>
      </c>
      <c r="C145" s="19" t="s">
        <v>6</v>
      </c>
      <c r="D145" s="55" t="s">
        <v>7</v>
      </c>
      <c r="E145" s="55" t="s">
        <v>123</v>
      </c>
      <c r="F145" s="19" t="s">
        <v>103</v>
      </c>
      <c r="G145" s="47">
        <f>101751.5-315.1+10414.2+16810+11700.7</f>
        <v>140361.29999999999</v>
      </c>
    </row>
    <row r="146" spans="1:7" ht="30" x14ac:dyDescent="0.2">
      <c r="A146" s="44" t="s">
        <v>102</v>
      </c>
      <c r="B146" s="3" t="s">
        <v>279</v>
      </c>
      <c r="C146" s="19" t="s">
        <v>6</v>
      </c>
      <c r="D146" s="55" t="s">
        <v>7</v>
      </c>
      <c r="E146" s="55" t="s">
        <v>123</v>
      </c>
      <c r="F146" s="19" t="s">
        <v>101</v>
      </c>
      <c r="G146" s="47">
        <f>88213.6+432.3+121.1</f>
        <v>88767.000000000015</v>
      </c>
    </row>
    <row r="147" spans="1:7" x14ac:dyDescent="0.2">
      <c r="A147" s="44" t="s">
        <v>109</v>
      </c>
      <c r="B147" s="3" t="s">
        <v>279</v>
      </c>
      <c r="C147" s="19" t="s">
        <v>6</v>
      </c>
      <c r="D147" s="55" t="s">
        <v>7</v>
      </c>
      <c r="E147" s="55" t="s">
        <v>123</v>
      </c>
      <c r="F147" s="19" t="s">
        <v>104</v>
      </c>
      <c r="G147" s="47">
        <v>138</v>
      </c>
    </row>
    <row r="148" spans="1:7" x14ac:dyDescent="0.2">
      <c r="A148" s="1" t="s">
        <v>42</v>
      </c>
      <c r="B148" s="3" t="s">
        <v>279</v>
      </c>
      <c r="C148" s="3" t="s">
        <v>6</v>
      </c>
      <c r="D148" s="3" t="s">
        <v>50</v>
      </c>
      <c r="E148" s="3"/>
      <c r="F148" s="3"/>
      <c r="G148" s="62">
        <f>G149+G154+G191+G195</f>
        <v>352184.33999999997</v>
      </c>
    </row>
    <row r="149" spans="1:7" ht="30" x14ac:dyDescent="0.2">
      <c r="A149" s="1" t="s">
        <v>116</v>
      </c>
      <c r="B149" s="3" t="s">
        <v>279</v>
      </c>
      <c r="C149" s="3" t="s">
        <v>6</v>
      </c>
      <c r="D149" s="3" t="s">
        <v>50</v>
      </c>
      <c r="E149" s="3" t="s">
        <v>139</v>
      </c>
      <c r="F149" s="3"/>
      <c r="G149" s="31">
        <f>G150</f>
        <v>365.6</v>
      </c>
    </row>
    <row r="150" spans="1:7" ht="30" x14ac:dyDescent="0.2">
      <c r="A150" s="1" t="s">
        <v>140</v>
      </c>
      <c r="B150" s="3" t="s">
        <v>279</v>
      </c>
      <c r="C150" s="3" t="s">
        <v>6</v>
      </c>
      <c r="D150" s="3" t="s">
        <v>50</v>
      </c>
      <c r="E150" s="3" t="s">
        <v>141</v>
      </c>
      <c r="F150" s="3"/>
      <c r="G150" s="31">
        <f>G151</f>
        <v>365.6</v>
      </c>
    </row>
    <row r="151" spans="1:7" ht="45" x14ac:dyDescent="0.2">
      <c r="A151" s="1" t="s">
        <v>142</v>
      </c>
      <c r="B151" s="3" t="s">
        <v>279</v>
      </c>
      <c r="C151" s="3" t="s">
        <v>6</v>
      </c>
      <c r="D151" s="3" t="s">
        <v>50</v>
      </c>
      <c r="E151" s="3" t="s">
        <v>143</v>
      </c>
      <c r="F151" s="3"/>
      <c r="G151" s="31">
        <f>G152</f>
        <v>365.6</v>
      </c>
    </row>
    <row r="152" spans="1:7" ht="30" x14ac:dyDescent="0.2">
      <c r="A152" s="1" t="s">
        <v>144</v>
      </c>
      <c r="B152" s="3" t="s">
        <v>279</v>
      </c>
      <c r="C152" s="3" t="s">
        <v>6</v>
      </c>
      <c r="D152" s="3" t="s">
        <v>50</v>
      </c>
      <c r="E152" s="3" t="s">
        <v>145</v>
      </c>
      <c r="F152" s="3"/>
      <c r="G152" s="31">
        <f>G153</f>
        <v>365.6</v>
      </c>
    </row>
    <row r="153" spans="1:7" ht="60" x14ac:dyDescent="0.2">
      <c r="A153" s="44" t="s">
        <v>108</v>
      </c>
      <c r="B153" s="3" t="s">
        <v>279</v>
      </c>
      <c r="C153" s="3" t="s">
        <v>6</v>
      </c>
      <c r="D153" s="3" t="s">
        <v>50</v>
      </c>
      <c r="E153" s="3" t="s">
        <v>145</v>
      </c>
      <c r="F153" s="3" t="s">
        <v>103</v>
      </c>
      <c r="G153" s="31">
        <f>318.1+47.5</f>
        <v>365.6</v>
      </c>
    </row>
    <row r="154" spans="1:7" x14ac:dyDescent="0.2">
      <c r="A154" s="20" t="s">
        <v>115</v>
      </c>
      <c r="B154" s="3" t="s">
        <v>279</v>
      </c>
      <c r="C154" s="3" t="s">
        <v>6</v>
      </c>
      <c r="D154" s="3" t="s">
        <v>50</v>
      </c>
      <c r="E154" s="55" t="s">
        <v>122</v>
      </c>
      <c r="F154" s="19"/>
      <c r="G154" s="61">
        <f>G155+G157+G160+G162+G164+G167+G169</f>
        <v>339585.14</v>
      </c>
    </row>
    <row r="155" spans="1:7" x14ac:dyDescent="0.2">
      <c r="A155" s="44" t="s">
        <v>94</v>
      </c>
      <c r="B155" s="3" t="s">
        <v>279</v>
      </c>
      <c r="C155" s="3" t="s">
        <v>6</v>
      </c>
      <c r="D155" s="3" t="s">
        <v>50</v>
      </c>
      <c r="E155" s="55" t="s">
        <v>146</v>
      </c>
      <c r="F155" s="19"/>
      <c r="G155" s="47">
        <f>G156</f>
        <v>16558.599999999999</v>
      </c>
    </row>
    <row r="156" spans="1:7" x14ac:dyDescent="0.2">
      <c r="A156" s="44" t="s">
        <v>109</v>
      </c>
      <c r="B156" s="3" t="s">
        <v>279</v>
      </c>
      <c r="C156" s="3" t="s">
        <v>6</v>
      </c>
      <c r="D156" s="3" t="s">
        <v>50</v>
      </c>
      <c r="E156" s="55" t="s">
        <v>146</v>
      </c>
      <c r="F156" s="19" t="s">
        <v>104</v>
      </c>
      <c r="G156" s="47">
        <v>16558.599999999999</v>
      </c>
    </row>
    <row r="157" spans="1:7" ht="30" x14ac:dyDescent="0.2">
      <c r="A157" s="45" t="s">
        <v>57</v>
      </c>
      <c r="B157" s="3" t="s">
        <v>279</v>
      </c>
      <c r="C157" s="3" t="s">
        <v>6</v>
      </c>
      <c r="D157" s="3" t="s">
        <v>50</v>
      </c>
      <c r="E157" s="3" t="s">
        <v>147</v>
      </c>
      <c r="F157" s="19"/>
      <c r="G157" s="47">
        <f>SUM(G158:G159)</f>
        <v>5675.98</v>
      </c>
    </row>
    <row r="158" spans="1:7" ht="60" x14ac:dyDescent="0.2">
      <c r="A158" s="44" t="s">
        <v>108</v>
      </c>
      <c r="B158" s="3" t="s">
        <v>279</v>
      </c>
      <c r="C158" s="3" t="s">
        <v>6</v>
      </c>
      <c r="D158" s="3" t="s">
        <v>50</v>
      </c>
      <c r="E158" s="3" t="s">
        <v>147</v>
      </c>
      <c r="F158" s="19" t="s">
        <v>103</v>
      </c>
      <c r="G158" s="47">
        <f>3908.1+1387.88</f>
        <v>5295.98</v>
      </c>
    </row>
    <row r="159" spans="1:7" ht="30" x14ac:dyDescent="0.2">
      <c r="A159" s="44" t="s">
        <v>102</v>
      </c>
      <c r="B159" s="3" t="s">
        <v>279</v>
      </c>
      <c r="C159" s="3" t="s">
        <v>6</v>
      </c>
      <c r="D159" s="3" t="s">
        <v>50</v>
      </c>
      <c r="E159" s="3" t="s">
        <v>147</v>
      </c>
      <c r="F159" s="19" t="s">
        <v>101</v>
      </c>
      <c r="G159" s="47">
        <v>380</v>
      </c>
    </row>
    <row r="160" spans="1:7" ht="30" x14ac:dyDescent="0.2">
      <c r="A160" s="44" t="s">
        <v>58</v>
      </c>
      <c r="B160" s="3" t="s">
        <v>279</v>
      </c>
      <c r="C160" s="3" t="s">
        <v>6</v>
      </c>
      <c r="D160" s="3" t="s">
        <v>50</v>
      </c>
      <c r="E160" s="3" t="s">
        <v>148</v>
      </c>
      <c r="F160" s="19"/>
      <c r="G160" s="28">
        <f>G161</f>
        <v>191.7</v>
      </c>
    </row>
    <row r="161" spans="1:7" ht="30" x14ac:dyDescent="0.2">
      <c r="A161" s="44" t="s">
        <v>102</v>
      </c>
      <c r="B161" s="3" t="s">
        <v>279</v>
      </c>
      <c r="C161" s="3" t="s">
        <v>6</v>
      </c>
      <c r="D161" s="3" t="s">
        <v>50</v>
      </c>
      <c r="E161" s="3" t="s">
        <v>148</v>
      </c>
      <c r="F161" s="19" t="s">
        <v>101</v>
      </c>
      <c r="G161" s="28">
        <v>191.7</v>
      </c>
    </row>
    <row r="162" spans="1:7" ht="45" x14ac:dyDescent="0.2">
      <c r="A162" s="45" t="s">
        <v>149</v>
      </c>
      <c r="B162" s="3" t="s">
        <v>279</v>
      </c>
      <c r="C162" s="3" t="s">
        <v>6</v>
      </c>
      <c r="D162" s="3" t="s">
        <v>50</v>
      </c>
      <c r="E162" s="3" t="s">
        <v>150</v>
      </c>
      <c r="F162" s="19"/>
      <c r="G162" s="61">
        <f>G163</f>
        <v>0.46</v>
      </c>
    </row>
    <row r="163" spans="1:7" ht="60" x14ac:dyDescent="0.2">
      <c r="A163" s="44" t="s">
        <v>108</v>
      </c>
      <c r="B163" s="3" t="s">
        <v>279</v>
      </c>
      <c r="C163" s="3" t="s">
        <v>6</v>
      </c>
      <c r="D163" s="3" t="s">
        <v>50</v>
      </c>
      <c r="E163" s="3" t="s">
        <v>150</v>
      </c>
      <c r="F163" s="19" t="s">
        <v>103</v>
      </c>
      <c r="G163" s="61">
        <v>0.46</v>
      </c>
    </row>
    <row r="164" spans="1:7" ht="30" x14ac:dyDescent="0.2">
      <c r="A164" s="44" t="s">
        <v>324</v>
      </c>
      <c r="B164" s="3" t="s">
        <v>279</v>
      </c>
      <c r="C164" s="3" t="s">
        <v>6</v>
      </c>
      <c r="D164" s="3" t="s">
        <v>50</v>
      </c>
      <c r="E164" s="10" t="s">
        <v>501</v>
      </c>
      <c r="F164" s="10"/>
      <c r="G164" s="31">
        <f>SUM(G165:G166)</f>
        <v>8888.7999999999993</v>
      </c>
    </row>
    <row r="165" spans="1:7" ht="60" x14ac:dyDescent="0.2">
      <c r="A165" s="44" t="s">
        <v>108</v>
      </c>
      <c r="B165" s="3" t="s">
        <v>279</v>
      </c>
      <c r="C165" s="3" t="s">
        <v>6</v>
      </c>
      <c r="D165" s="3" t="s">
        <v>50</v>
      </c>
      <c r="E165" s="10" t="s">
        <v>501</v>
      </c>
      <c r="F165" s="10" t="s">
        <v>103</v>
      </c>
      <c r="G165" s="31">
        <f>5094.9+515.6+807.2+506.8</f>
        <v>6924.5</v>
      </c>
    </row>
    <row r="166" spans="1:7" ht="30" x14ac:dyDescent="0.2">
      <c r="A166" s="44" t="s">
        <v>102</v>
      </c>
      <c r="B166" s="3" t="s">
        <v>279</v>
      </c>
      <c r="C166" s="3" t="s">
        <v>6</v>
      </c>
      <c r="D166" s="3" t="s">
        <v>50</v>
      </c>
      <c r="E166" s="10" t="s">
        <v>501</v>
      </c>
      <c r="F166" s="10" t="s">
        <v>101</v>
      </c>
      <c r="G166" s="31">
        <f>1913.2+51.1</f>
        <v>1964.3</v>
      </c>
    </row>
    <row r="167" spans="1:7" x14ac:dyDescent="0.2">
      <c r="A167" s="20" t="s">
        <v>18</v>
      </c>
      <c r="B167" s="3" t="s">
        <v>279</v>
      </c>
      <c r="C167" s="3" t="s">
        <v>6</v>
      </c>
      <c r="D167" s="3" t="s">
        <v>50</v>
      </c>
      <c r="E167" s="3" t="s">
        <v>155</v>
      </c>
      <c r="F167" s="19"/>
      <c r="G167" s="47">
        <f>G168</f>
        <v>309.10000000000002</v>
      </c>
    </row>
    <row r="168" spans="1:7" ht="30" x14ac:dyDescent="0.2">
      <c r="A168" s="20" t="s">
        <v>112</v>
      </c>
      <c r="B168" s="3" t="s">
        <v>279</v>
      </c>
      <c r="C168" s="3" t="s">
        <v>6</v>
      </c>
      <c r="D168" s="3" t="s">
        <v>50</v>
      </c>
      <c r="E168" s="3" t="s">
        <v>155</v>
      </c>
      <c r="F168" s="19" t="s">
        <v>107</v>
      </c>
      <c r="G168" s="47">
        <f>16311.9-16011.9+9.1</f>
        <v>309.10000000000002</v>
      </c>
    </row>
    <row r="169" spans="1:7" ht="30" x14ac:dyDescent="0.2">
      <c r="A169" s="45" t="s">
        <v>100</v>
      </c>
      <c r="B169" s="3" t="s">
        <v>279</v>
      </c>
      <c r="C169" s="3" t="s">
        <v>6</v>
      </c>
      <c r="D169" s="3" t="s">
        <v>50</v>
      </c>
      <c r="E169" s="3" t="s">
        <v>126</v>
      </c>
      <c r="F169" s="19"/>
      <c r="G169" s="47">
        <f>G170+G173+G176+G178+G180+G184+G187</f>
        <v>307960.5</v>
      </c>
    </row>
    <row r="170" spans="1:7" x14ac:dyDescent="0.2">
      <c r="A170" s="45" t="s">
        <v>512</v>
      </c>
      <c r="B170" s="3" t="s">
        <v>279</v>
      </c>
      <c r="C170" s="3" t="s">
        <v>6</v>
      </c>
      <c r="D170" s="3" t="s">
        <v>50</v>
      </c>
      <c r="E170" s="19" t="s">
        <v>513</v>
      </c>
      <c r="F170" s="19"/>
      <c r="G170" s="47">
        <f>SUM(G171:G172)</f>
        <v>1620</v>
      </c>
    </row>
    <row r="171" spans="1:7" ht="30" x14ac:dyDescent="0.2">
      <c r="A171" s="44" t="s">
        <v>102</v>
      </c>
      <c r="B171" s="3" t="s">
        <v>279</v>
      </c>
      <c r="C171" s="3" t="s">
        <v>6</v>
      </c>
      <c r="D171" s="3" t="s">
        <v>50</v>
      </c>
      <c r="E171" s="19" t="s">
        <v>513</v>
      </c>
      <c r="F171" s="19" t="s">
        <v>101</v>
      </c>
      <c r="G171" s="32">
        <v>1160</v>
      </c>
    </row>
    <row r="172" spans="1:7" x14ac:dyDescent="0.2">
      <c r="A172" s="45" t="s">
        <v>111</v>
      </c>
      <c r="B172" s="3" t="s">
        <v>279</v>
      </c>
      <c r="C172" s="3" t="s">
        <v>6</v>
      </c>
      <c r="D172" s="3" t="s">
        <v>50</v>
      </c>
      <c r="E172" s="19" t="s">
        <v>513</v>
      </c>
      <c r="F172" s="19" t="s">
        <v>105</v>
      </c>
      <c r="G172" s="32">
        <v>460</v>
      </c>
    </row>
    <row r="173" spans="1:7" ht="30" x14ac:dyDescent="0.2">
      <c r="A173" s="45" t="s">
        <v>514</v>
      </c>
      <c r="B173" s="3" t="s">
        <v>279</v>
      </c>
      <c r="C173" s="3" t="s">
        <v>6</v>
      </c>
      <c r="D173" s="3" t="s">
        <v>50</v>
      </c>
      <c r="E173" s="19" t="s">
        <v>515</v>
      </c>
      <c r="F173" s="19"/>
      <c r="G173" s="47">
        <f>SUM(G174:G175)</f>
        <v>19410.599999999999</v>
      </c>
    </row>
    <row r="174" spans="1:7" ht="60" x14ac:dyDescent="0.2">
      <c r="A174" s="44" t="s">
        <v>108</v>
      </c>
      <c r="B174" s="3" t="s">
        <v>279</v>
      </c>
      <c r="C174" s="3" t="s">
        <v>6</v>
      </c>
      <c r="D174" s="3" t="s">
        <v>50</v>
      </c>
      <c r="E174" s="19" t="s">
        <v>515</v>
      </c>
      <c r="F174" s="19" t="s">
        <v>103</v>
      </c>
      <c r="G174" s="32">
        <f>10015.7+1437.2+2278.8+812.3</f>
        <v>14544</v>
      </c>
    </row>
    <row r="175" spans="1:7" ht="30" x14ac:dyDescent="0.2">
      <c r="A175" s="44" t="s">
        <v>102</v>
      </c>
      <c r="B175" s="3" t="s">
        <v>279</v>
      </c>
      <c r="C175" s="3" t="s">
        <v>6</v>
      </c>
      <c r="D175" s="3" t="s">
        <v>50</v>
      </c>
      <c r="E175" s="19" t="s">
        <v>515</v>
      </c>
      <c r="F175" s="19" t="s">
        <v>101</v>
      </c>
      <c r="G175" s="32">
        <v>4866.6000000000004</v>
      </c>
    </row>
    <row r="176" spans="1:7" x14ac:dyDescent="0.2">
      <c r="A176" s="44" t="s">
        <v>42</v>
      </c>
      <c r="B176" s="3" t="s">
        <v>279</v>
      </c>
      <c r="C176" s="3" t="s">
        <v>6</v>
      </c>
      <c r="D176" s="3" t="s">
        <v>50</v>
      </c>
      <c r="E176" s="19" t="s">
        <v>461</v>
      </c>
      <c r="F176" s="19"/>
      <c r="G176" s="32">
        <f>G177</f>
        <v>2027.5</v>
      </c>
    </row>
    <row r="177" spans="1:7" ht="30" x14ac:dyDescent="0.2">
      <c r="A177" s="44" t="s">
        <v>102</v>
      </c>
      <c r="B177" s="3" t="s">
        <v>279</v>
      </c>
      <c r="C177" s="3" t="s">
        <v>6</v>
      </c>
      <c r="D177" s="3" t="s">
        <v>50</v>
      </c>
      <c r="E177" s="19" t="s">
        <v>461</v>
      </c>
      <c r="F177" s="19" t="s">
        <v>101</v>
      </c>
      <c r="G177" s="32">
        <v>2027.5</v>
      </c>
    </row>
    <row r="178" spans="1:7" ht="30" x14ac:dyDescent="0.2">
      <c r="A178" s="44" t="s">
        <v>516</v>
      </c>
      <c r="B178" s="3" t="s">
        <v>279</v>
      </c>
      <c r="C178" s="3" t="s">
        <v>6</v>
      </c>
      <c r="D178" s="3" t="s">
        <v>50</v>
      </c>
      <c r="E178" s="19" t="s">
        <v>517</v>
      </c>
      <c r="F178" s="19"/>
      <c r="G178" s="47">
        <f>G179</f>
        <v>177.3</v>
      </c>
    </row>
    <row r="179" spans="1:7" ht="60" x14ac:dyDescent="0.2">
      <c r="A179" s="44" t="s">
        <v>108</v>
      </c>
      <c r="B179" s="3" t="s">
        <v>279</v>
      </c>
      <c r="C179" s="3" t="s">
        <v>6</v>
      </c>
      <c r="D179" s="3" t="s">
        <v>50</v>
      </c>
      <c r="E179" s="19" t="s">
        <v>517</v>
      </c>
      <c r="F179" s="19" t="s">
        <v>103</v>
      </c>
      <c r="G179" s="47">
        <f>68.7+40.2+64.4+4</f>
        <v>177.3</v>
      </c>
    </row>
    <row r="180" spans="1:7" ht="30" x14ac:dyDescent="0.2">
      <c r="A180" s="44" t="s">
        <v>413</v>
      </c>
      <c r="B180" s="3" t="s">
        <v>279</v>
      </c>
      <c r="C180" s="3" t="s">
        <v>6</v>
      </c>
      <c r="D180" s="3" t="s">
        <v>50</v>
      </c>
      <c r="E180" s="19" t="s">
        <v>417</v>
      </c>
      <c r="F180" s="19"/>
      <c r="G180" s="31">
        <f>SUM(G181:G183)</f>
        <v>232984.59999999998</v>
      </c>
    </row>
    <row r="181" spans="1:7" ht="60" x14ac:dyDescent="0.2">
      <c r="A181" s="44" t="s">
        <v>108</v>
      </c>
      <c r="B181" s="3" t="s">
        <v>279</v>
      </c>
      <c r="C181" s="3" t="s">
        <v>6</v>
      </c>
      <c r="D181" s="3" t="s">
        <v>50</v>
      </c>
      <c r="E181" s="19" t="s">
        <v>417</v>
      </c>
      <c r="F181" s="19" t="s">
        <v>103</v>
      </c>
      <c r="G181" s="31">
        <f>92522.4+11164+15658.4+3264.2</f>
        <v>122608.99999999999</v>
      </c>
    </row>
    <row r="182" spans="1:7" ht="30" x14ac:dyDescent="0.2">
      <c r="A182" s="44" t="s">
        <v>102</v>
      </c>
      <c r="B182" s="3" t="s">
        <v>279</v>
      </c>
      <c r="C182" s="3" t="s">
        <v>6</v>
      </c>
      <c r="D182" s="3" t="s">
        <v>50</v>
      </c>
      <c r="E182" s="19" t="s">
        <v>417</v>
      </c>
      <c r="F182" s="19" t="s">
        <v>101</v>
      </c>
      <c r="G182" s="31">
        <f>61521.5+220.4+46641.7</f>
        <v>108383.6</v>
      </c>
    </row>
    <row r="183" spans="1:7" x14ac:dyDescent="0.2">
      <c r="A183" s="44" t="s">
        <v>109</v>
      </c>
      <c r="B183" s="3" t="s">
        <v>279</v>
      </c>
      <c r="C183" s="3" t="s">
        <v>6</v>
      </c>
      <c r="D183" s="3" t="s">
        <v>50</v>
      </c>
      <c r="E183" s="19" t="s">
        <v>417</v>
      </c>
      <c r="F183" s="19" t="s">
        <v>104</v>
      </c>
      <c r="G183" s="31">
        <v>1992</v>
      </c>
    </row>
    <row r="184" spans="1:7" x14ac:dyDescent="0.2">
      <c r="A184" s="44" t="s">
        <v>518</v>
      </c>
      <c r="B184" s="3" t="s">
        <v>279</v>
      </c>
      <c r="C184" s="3" t="s">
        <v>6</v>
      </c>
      <c r="D184" s="3" t="s">
        <v>50</v>
      </c>
      <c r="E184" s="19" t="s">
        <v>519</v>
      </c>
      <c r="F184" s="19"/>
      <c r="G184" s="31">
        <f>SUM(G185:G186)</f>
        <v>19530.099999999999</v>
      </c>
    </row>
    <row r="185" spans="1:7" ht="60" x14ac:dyDescent="0.2">
      <c r="A185" s="44" t="s">
        <v>108</v>
      </c>
      <c r="B185" s="3" t="s">
        <v>279</v>
      </c>
      <c r="C185" s="3" t="s">
        <v>6</v>
      </c>
      <c r="D185" s="3" t="s">
        <v>50</v>
      </c>
      <c r="E185" s="19" t="s">
        <v>519</v>
      </c>
      <c r="F185" s="19" t="s">
        <v>103</v>
      </c>
      <c r="G185" s="32">
        <f>12662.5+1512+2170+459.8</f>
        <v>16804.3</v>
      </c>
    </row>
    <row r="186" spans="1:7" ht="30" x14ac:dyDescent="0.2">
      <c r="A186" s="44" t="s">
        <v>102</v>
      </c>
      <c r="B186" s="3" t="s">
        <v>279</v>
      </c>
      <c r="C186" s="3" t="s">
        <v>6</v>
      </c>
      <c r="D186" s="3" t="s">
        <v>50</v>
      </c>
      <c r="E186" s="19" t="s">
        <v>519</v>
      </c>
      <c r="F186" s="19" t="s">
        <v>101</v>
      </c>
      <c r="G186" s="32">
        <f>2073+652.8</f>
        <v>2725.8</v>
      </c>
    </row>
    <row r="187" spans="1:7" x14ac:dyDescent="0.2">
      <c r="A187" s="44" t="s">
        <v>647</v>
      </c>
      <c r="B187" s="3" t="s">
        <v>279</v>
      </c>
      <c r="C187" s="3" t="s">
        <v>6</v>
      </c>
      <c r="D187" s="3" t="s">
        <v>50</v>
      </c>
      <c r="E187" s="19" t="s">
        <v>646</v>
      </c>
      <c r="F187" s="19"/>
      <c r="G187" s="32">
        <f>G188+G189+G190</f>
        <v>32210.400000000001</v>
      </c>
    </row>
    <row r="188" spans="1:7" ht="60" x14ac:dyDescent="0.2">
      <c r="A188" s="44" t="s">
        <v>108</v>
      </c>
      <c r="B188" s="3" t="s">
        <v>279</v>
      </c>
      <c r="C188" s="3" t="s">
        <v>6</v>
      </c>
      <c r="D188" s="3" t="s">
        <v>50</v>
      </c>
      <c r="E188" s="19" t="s">
        <v>646</v>
      </c>
      <c r="F188" s="19" t="s">
        <v>103</v>
      </c>
      <c r="G188" s="32">
        <f>8863.3+904.2+1216.6+526.8</f>
        <v>11510.9</v>
      </c>
    </row>
    <row r="189" spans="1:7" ht="30" x14ac:dyDescent="0.2">
      <c r="A189" s="44" t="s">
        <v>102</v>
      </c>
      <c r="B189" s="3" t="s">
        <v>279</v>
      </c>
      <c r="C189" s="3" t="s">
        <v>6</v>
      </c>
      <c r="D189" s="3" t="s">
        <v>50</v>
      </c>
      <c r="E189" s="19" t="s">
        <v>646</v>
      </c>
      <c r="F189" s="19" t="s">
        <v>101</v>
      </c>
      <c r="G189" s="32">
        <f>7018.7+4050+9500.9</f>
        <v>20569.599999999999</v>
      </c>
    </row>
    <row r="190" spans="1:7" x14ac:dyDescent="0.2">
      <c r="A190" s="44" t="s">
        <v>109</v>
      </c>
      <c r="B190" s="3" t="s">
        <v>279</v>
      </c>
      <c r="C190" s="3" t="s">
        <v>6</v>
      </c>
      <c r="D190" s="3" t="s">
        <v>50</v>
      </c>
      <c r="E190" s="19" t="s">
        <v>646</v>
      </c>
      <c r="F190" s="19" t="s">
        <v>104</v>
      </c>
      <c r="G190" s="32">
        <v>129.9</v>
      </c>
    </row>
    <row r="191" spans="1:7" ht="30" x14ac:dyDescent="0.2">
      <c r="A191" s="44" t="s">
        <v>462</v>
      </c>
      <c r="B191" s="3" t="s">
        <v>279</v>
      </c>
      <c r="C191" s="3" t="s">
        <v>6</v>
      </c>
      <c r="D191" s="3" t="s">
        <v>50</v>
      </c>
      <c r="E191" s="3" t="s">
        <v>464</v>
      </c>
      <c r="F191" s="19"/>
      <c r="G191" s="32">
        <f>G192</f>
        <v>10662.099999999999</v>
      </c>
    </row>
    <row r="192" spans="1:7" ht="30" x14ac:dyDescent="0.2">
      <c r="A192" s="45" t="s">
        <v>558</v>
      </c>
      <c r="B192" s="3" t="s">
        <v>279</v>
      </c>
      <c r="C192" s="3" t="s">
        <v>6</v>
      </c>
      <c r="D192" s="3" t="s">
        <v>50</v>
      </c>
      <c r="E192" s="3" t="s">
        <v>559</v>
      </c>
      <c r="F192" s="19"/>
      <c r="G192" s="47">
        <f>G193</f>
        <v>10662.099999999999</v>
      </c>
    </row>
    <row r="193" spans="1:7" x14ac:dyDescent="0.2">
      <c r="A193" s="44" t="s">
        <v>463</v>
      </c>
      <c r="B193" s="3" t="s">
        <v>279</v>
      </c>
      <c r="C193" s="3" t="s">
        <v>6</v>
      </c>
      <c r="D193" s="3" t="s">
        <v>50</v>
      </c>
      <c r="E193" s="3" t="s">
        <v>560</v>
      </c>
      <c r="F193" s="19"/>
      <c r="G193" s="47">
        <f>G194</f>
        <v>10662.099999999999</v>
      </c>
    </row>
    <row r="194" spans="1:7" ht="30" x14ac:dyDescent="0.2">
      <c r="A194" s="20" t="s">
        <v>112</v>
      </c>
      <c r="B194" s="3" t="s">
        <v>279</v>
      </c>
      <c r="C194" s="3" t="s">
        <v>6</v>
      </c>
      <c r="D194" s="3" t="s">
        <v>50</v>
      </c>
      <c r="E194" s="3" t="s">
        <v>560</v>
      </c>
      <c r="F194" s="19" t="s">
        <v>107</v>
      </c>
      <c r="G194" s="47">
        <f>8589.6+717.8+1020.4+334.3</f>
        <v>10662.099999999999</v>
      </c>
    </row>
    <row r="195" spans="1:7" ht="30" x14ac:dyDescent="0.2">
      <c r="A195" s="20" t="s">
        <v>709</v>
      </c>
      <c r="B195" s="3" t="s">
        <v>279</v>
      </c>
      <c r="C195" s="3" t="s">
        <v>6</v>
      </c>
      <c r="D195" s="3" t="s">
        <v>50</v>
      </c>
      <c r="E195" s="3" t="s">
        <v>710</v>
      </c>
      <c r="F195" s="19"/>
      <c r="G195" s="47">
        <f>G196</f>
        <v>1571.5</v>
      </c>
    </row>
    <row r="196" spans="1:7" ht="105" x14ac:dyDescent="0.2">
      <c r="A196" s="20" t="s">
        <v>711</v>
      </c>
      <c r="B196" s="3" t="s">
        <v>279</v>
      </c>
      <c r="C196" s="3" t="s">
        <v>6</v>
      </c>
      <c r="D196" s="3" t="s">
        <v>50</v>
      </c>
      <c r="E196" s="3" t="s">
        <v>712</v>
      </c>
      <c r="F196" s="19"/>
      <c r="G196" s="47">
        <f>G197</f>
        <v>1571.5</v>
      </c>
    </row>
    <row r="197" spans="1:7" x14ac:dyDescent="0.2">
      <c r="A197" s="20" t="s">
        <v>713</v>
      </c>
      <c r="B197" s="3" t="s">
        <v>279</v>
      </c>
      <c r="C197" s="3" t="s">
        <v>6</v>
      </c>
      <c r="D197" s="3" t="s">
        <v>50</v>
      </c>
      <c r="E197" s="3" t="s">
        <v>714</v>
      </c>
      <c r="F197" s="19"/>
      <c r="G197" s="47">
        <f>G198</f>
        <v>1571.5</v>
      </c>
    </row>
    <row r="198" spans="1:7" x14ac:dyDescent="0.2">
      <c r="A198" s="44" t="s">
        <v>109</v>
      </c>
      <c r="B198" s="3" t="s">
        <v>279</v>
      </c>
      <c r="C198" s="3" t="s">
        <v>6</v>
      </c>
      <c r="D198" s="3" t="s">
        <v>50</v>
      </c>
      <c r="E198" s="3" t="s">
        <v>714</v>
      </c>
      <c r="F198" s="19" t="s">
        <v>104</v>
      </c>
      <c r="G198" s="47">
        <v>1571.5</v>
      </c>
    </row>
    <row r="199" spans="1:7" x14ac:dyDescent="0.2">
      <c r="A199" s="9" t="s">
        <v>14</v>
      </c>
      <c r="B199" s="3" t="s">
        <v>279</v>
      </c>
      <c r="C199" s="3" t="s">
        <v>15</v>
      </c>
      <c r="D199" s="3"/>
      <c r="E199" s="3"/>
      <c r="F199" s="3"/>
      <c r="G199" s="32">
        <f>G200</f>
        <v>104846</v>
      </c>
    </row>
    <row r="200" spans="1:7" ht="30" x14ac:dyDescent="0.2">
      <c r="A200" s="9" t="s">
        <v>151</v>
      </c>
      <c r="B200" s="3" t="s">
        <v>279</v>
      </c>
      <c r="C200" s="3" t="s">
        <v>15</v>
      </c>
      <c r="D200" s="3" t="s">
        <v>27</v>
      </c>
      <c r="E200" s="3"/>
      <c r="F200" s="3"/>
      <c r="G200" s="32">
        <f>G201</f>
        <v>104846</v>
      </c>
    </row>
    <row r="201" spans="1:7" ht="30" x14ac:dyDescent="0.2">
      <c r="A201" s="44" t="s">
        <v>462</v>
      </c>
      <c r="B201" s="3" t="s">
        <v>279</v>
      </c>
      <c r="C201" s="3" t="s">
        <v>15</v>
      </c>
      <c r="D201" s="3" t="s">
        <v>27</v>
      </c>
      <c r="E201" s="3" t="s">
        <v>464</v>
      </c>
      <c r="F201" s="19"/>
      <c r="G201" s="28">
        <f>G202</f>
        <v>104846</v>
      </c>
    </row>
    <row r="202" spans="1:7" ht="45" x14ac:dyDescent="0.2">
      <c r="A202" s="45" t="s">
        <v>469</v>
      </c>
      <c r="B202" s="3" t="s">
        <v>279</v>
      </c>
      <c r="C202" s="19" t="s">
        <v>15</v>
      </c>
      <c r="D202" s="19" t="s">
        <v>27</v>
      </c>
      <c r="E202" s="3" t="s">
        <v>465</v>
      </c>
      <c r="F202" s="19"/>
      <c r="G202" s="28">
        <f>G203</f>
        <v>104846</v>
      </c>
    </row>
    <row r="203" spans="1:7" ht="30" x14ac:dyDescent="0.2">
      <c r="A203" s="44" t="s">
        <v>466</v>
      </c>
      <c r="B203" s="3" t="s">
        <v>279</v>
      </c>
      <c r="C203" s="19" t="s">
        <v>15</v>
      </c>
      <c r="D203" s="19" t="s">
        <v>27</v>
      </c>
      <c r="E203" s="3" t="s">
        <v>467</v>
      </c>
      <c r="F203" s="19"/>
      <c r="G203" s="28">
        <f>G204+G205</f>
        <v>104846</v>
      </c>
    </row>
    <row r="204" spans="1:7" ht="60" x14ac:dyDescent="0.2">
      <c r="A204" s="44" t="s">
        <v>108</v>
      </c>
      <c r="B204" s="3" t="s">
        <v>279</v>
      </c>
      <c r="C204" s="19" t="s">
        <v>15</v>
      </c>
      <c r="D204" s="19" t="s">
        <v>27</v>
      </c>
      <c r="E204" s="19" t="s">
        <v>467</v>
      </c>
      <c r="F204" s="19" t="s">
        <v>103</v>
      </c>
      <c r="G204" s="28">
        <f>66092.8+8378.4+24794.5+5560.5</f>
        <v>104826.2</v>
      </c>
    </row>
    <row r="205" spans="1:7" ht="30" x14ac:dyDescent="0.2">
      <c r="A205" s="44" t="s">
        <v>102</v>
      </c>
      <c r="B205" s="3" t="s">
        <v>279</v>
      </c>
      <c r="C205" s="19" t="s">
        <v>15</v>
      </c>
      <c r="D205" s="19" t="s">
        <v>27</v>
      </c>
      <c r="E205" s="19" t="s">
        <v>467</v>
      </c>
      <c r="F205" s="19" t="s">
        <v>101</v>
      </c>
      <c r="G205" s="28">
        <v>19.8</v>
      </c>
    </row>
    <row r="206" spans="1:7" x14ac:dyDescent="0.2">
      <c r="A206" s="1" t="s">
        <v>19</v>
      </c>
      <c r="B206" s="3" t="s">
        <v>279</v>
      </c>
      <c r="C206" s="19" t="s">
        <v>7</v>
      </c>
      <c r="D206" s="19"/>
      <c r="E206" s="19"/>
      <c r="F206" s="19"/>
      <c r="G206" s="28">
        <f>G207</f>
        <v>33140.199999999997</v>
      </c>
    </row>
    <row r="207" spans="1:7" x14ac:dyDescent="0.2">
      <c r="A207" s="44" t="s">
        <v>643</v>
      </c>
      <c r="B207" s="3" t="s">
        <v>279</v>
      </c>
      <c r="C207" s="19" t="s">
        <v>7</v>
      </c>
      <c r="D207" s="19" t="s">
        <v>520</v>
      </c>
      <c r="E207" s="19"/>
      <c r="F207" s="19"/>
      <c r="G207" s="28">
        <f>G208</f>
        <v>33140.199999999997</v>
      </c>
    </row>
    <row r="208" spans="1:7" ht="30" x14ac:dyDescent="0.2">
      <c r="A208" s="44" t="s">
        <v>549</v>
      </c>
      <c r="B208" s="3" t="s">
        <v>279</v>
      </c>
      <c r="C208" s="3" t="s">
        <v>7</v>
      </c>
      <c r="D208" s="3" t="s">
        <v>520</v>
      </c>
      <c r="E208" s="3" t="s">
        <v>523</v>
      </c>
      <c r="F208" s="3"/>
      <c r="G208" s="32">
        <f>G209</f>
        <v>33140.199999999997</v>
      </c>
    </row>
    <row r="209" spans="1:7" ht="30" x14ac:dyDescent="0.2">
      <c r="A209" s="44" t="s">
        <v>425</v>
      </c>
      <c r="B209" s="3" t="s">
        <v>279</v>
      </c>
      <c r="C209" s="3" t="s">
        <v>7</v>
      </c>
      <c r="D209" s="3" t="s">
        <v>520</v>
      </c>
      <c r="E209" s="3" t="s">
        <v>524</v>
      </c>
      <c r="F209" s="3"/>
      <c r="G209" s="32">
        <f>G210</f>
        <v>33140.199999999997</v>
      </c>
    </row>
    <row r="210" spans="1:7" ht="45" x14ac:dyDescent="0.2">
      <c r="A210" s="44" t="s">
        <v>522</v>
      </c>
      <c r="B210" s="3" t="s">
        <v>279</v>
      </c>
      <c r="C210" s="3" t="s">
        <v>7</v>
      </c>
      <c r="D210" s="3" t="s">
        <v>520</v>
      </c>
      <c r="E210" s="3" t="s">
        <v>525</v>
      </c>
      <c r="F210" s="3"/>
      <c r="G210" s="32">
        <f>G211</f>
        <v>33140.199999999997</v>
      </c>
    </row>
    <row r="211" spans="1:7" x14ac:dyDescent="0.2">
      <c r="A211" s="44" t="s">
        <v>109</v>
      </c>
      <c r="B211" s="3" t="s">
        <v>279</v>
      </c>
      <c r="C211" s="3" t="s">
        <v>7</v>
      </c>
      <c r="D211" s="3" t="s">
        <v>520</v>
      </c>
      <c r="E211" s="3" t="s">
        <v>525</v>
      </c>
      <c r="F211" s="3" t="s">
        <v>104</v>
      </c>
      <c r="G211" s="32">
        <v>33140.199999999997</v>
      </c>
    </row>
    <row r="212" spans="1:7" x14ac:dyDescent="0.2">
      <c r="A212" s="20"/>
      <c r="B212" s="3"/>
      <c r="C212" s="19"/>
      <c r="D212" s="19"/>
      <c r="E212" s="19"/>
      <c r="F212" s="19"/>
      <c r="G212" s="28"/>
    </row>
    <row r="213" spans="1:7" ht="42.75" x14ac:dyDescent="0.2">
      <c r="A213" s="6" t="s">
        <v>69</v>
      </c>
      <c r="B213" s="16">
        <v>809</v>
      </c>
      <c r="C213" s="16"/>
      <c r="D213" s="16"/>
      <c r="E213" s="16"/>
      <c r="F213" s="16"/>
      <c r="G213" s="33">
        <f>G214+G253+G246+G259+G267+G281+G274</f>
        <v>407544.99999999994</v>
      </c>
    </row>
    <row r="214" spans="1:7" x14ac:dyDescent="0.2">
      <c r="A214" s="1" t="s">
        <v>5</v>
      </c>
      <c r="B214" s="3" t="s">
        <v>280</v>
      </c>
      <c r="C214" s="3" t="s">
        <v>6</v>
      </c>
      <c r="D214" s="3"/>
      <c r="E214" s="3"/>
      <c r="F214" s="3"/>
      <c r="G214" s="8">
        <f>G215+G221</f>
        <v>78634.8</v>
      </c>
    </row>
    <row r="215" spans="1:7" ht="45" x14ac:dyDescent="0.2">
      <c r="A215" s="9" t="s">
        <v>26</v>
      </c>
      <c r="B215" s="3" t="s">
        <v>280</v>
      </c>
      <c r="C215" s="10" t="s">
        <v>6</v>
      </c>
      <c r="D215" s="10" t="s">
        <v>7</v>
      </c>
      <c r="E215" s="11"/>
      <c r="F215" s="10"/>
      <c r="G215" s="31">
        <f>G216</f>
        <v>65800.600000000006</v>
      </c>
    </row>
    <row r="216" spans="1:7" x14ac:dyDescent="0.2">
      <c r="A216" s="54" t="s">
        <v>115</v>
      </c>
      <c r="B216" s="3" t="s">
        <v>280</v>
      </c>
      <c r="C216" s="55" t="s">
        <v>6</v>
      </c>
      <c r="D216" s="55" t="s">
        <v>7</v>
      </c>
      <c r="E216" s="55" t="s">
        <v>122</v>
      </c>
      <c r="F216" s="3"/>
      <c r="G216" s="47">
        <f>G217</f>
        <v>65800.600000000006</v>
      </c>
    </row>
    <row r="217" spans="1:7" x14ac:dyDescent="0.2">
      <c r="A217" s="20" t="s">
        <v>8</v>
      </c>
      <c r="B217" s="3" t="s">
        <v>280</v>
      </c>
      <c r="C217" s="19" t="s">
        <v>6</v>
      </c>
      <c r="D217" s="55" t="s">
        <v>7</v>
      </c>
      <c r="E217" s="55" t="s">
        <v>123</v>
      </c>
      <c r="F217" s="19"/>
      <c r="G217" s="47">
        <f>SUM(G218:G220)</f>
        <v>65800.600000000006</v>
      </c>
    </row>
    <row r="218" spans="1:7" ht="60" x14ac:dyDescent="0.2">
      <c r="A218" s="44" t="s">
        <v>108</v>
      </c>
      <c r="B218" s="3" t="s">
        <v>280</v>
      </c>
      <c r="C218" s="19" t="s">
        <v>6</v>
      </c>
      <c r="D218" s="55" t="s">
        <v>7</v>
      </c>
      <c r="E218" s="55" t="s">
        <v>123</v>
      </c>
      <c r="F218" s="19" t="s">
        <v>103</v>
      </c>
      <c r="G218" s="47">
        <f>40152.8+4109.2+8696.6+3933.6</f>
        <v>56892.2</v>
      </c>
    </row>
    <row r="219" spans="1:7" ht="30" x14ac:dyDescent="0.2">
      <c r="A219" s="44" t="s">
        <v>102</v>
      </c>
      <c r="B219" s="3" t="s">
        <v>280</v>
      </c>
      <c r="C219" s="19" t="s">
        <v>6</v>
      </c>
      <c r="D219" s="55" t="s">
        <v>7</v>
      </c>
      <c r="E219" s="55" t="s">
        <v>123</v>
      </c>
      <c r="F219" s="19" t="s">
        <v>101</v>
      </c>
      <c r="G219" s="47">
        <f>8633.7+118.4+146</f>
        <v>8898.1</v>
      </c>
    </row>
    <row r="220" spans="1:7" x14ac:dyDescent="0.2">
      <c r="A220" s="44" t="s">
        <v>109</v>
      </c>
      <c r="B220" s="3" t="s">
        <v>280</v>
      </c>
      <c r="C220" s="19" t="s">
        <v>6</v>
      </c>
      <c r="D220" s="55" t="s">
        <v>7</v>
      </c>
      <c r="E220" s="55" t="s">
        <v>123</v>
      </c>
      <c r="F220" s="19" t="s">
        <v>104</v>
      </c>
      <c r="G220" s="47">
        <v>10.3</v>
      </c>
    </row>
    <row r="221" spans="1:7" x14ac:dyDescent="0.2">
      <c r="A221" s="1" t="s">
        <v>42</v>
      </c>
      <c r="B221" s="3" t="s">
        <v>280</v>
      </c>
      <c r="C221" s="3" t="s">
        <v>6</v>
      </c>
      <c r="D221" s="3" t="s">
        <v>50</v>
      </c>
      <c r="E221" s="3"/>
      <c r="F221" s="3"/>
      <c r="G221" s="31">
        <f>G222+G233+G228</f>
        <v>12834.2</v>
      </c>
    </row>
    <row r="222" spans="1:7" ht="30" x14ac:dyDescent="0.2">
      <c r="A222" s="1" t="s">
        <v>116</v>
      </c>
      <c r="B222" s="3" t="s">
        <v>280</v>
      </c>
      <c r="C222" s="3" t="s">
        <v>6</v>
      </c>
      <c r="D222" s="3" t="s">
        <v>50</v>
      </c>
      <c r="E222" s="3" t="s">
        <v>139</v>
      </c>
      <c r="F222" s="3"/>
      <c r="G222" s="31">
        <f>G223</f>
        <v>3516</v>
      </c>
    </row>
    <row r="223" spans="1:7" ht="30" x14ac:dyDescent="0.2">
      <c r="A223" s="1" t="s">
        <v>140</v>
      </c>
      <c r="B223" s="3" t="s">
        <v>280</v>
      </c>
      <c r="C223" s="3" t="s">
        <v>6</v>
      </c>
      <c r="D223" s="3" t="s">
        <v>50</v>
      </c>
      <c r="E223" s="3" t="s">
        <v>141</v>
      </c>
      <c r="F223" s="3"/>
      <c r="G223" s="31">
        <f>G224</f>
        <v>3516</v>
      </c>
    </row>
    <row r="224" spans="1:7" ht="45" x14ac:dyDescent="0.2">
      <c r="A224" s="1" t="s">
        <v>142</v>
      </c>
      <c r="B224" s="3" t="s">
        <v>280</v>
      </c>
      <c r="C224" s="3" t="s">
        <v>6</v>
      </c>
      <c r="D224" s="3" t="s">
        <v>50</v>
      </c>
      <c r="E224" s="3" t="s">
        <v>143</v>
      </c>
      <c r="F224" s="3"/>
      <c r="G224" s="31">
        <f>G225</f>
        <v>3516</v>
      </c>
    </row>
    <row r="225" spans="1:7" ht="30" x14ac:dyDescent="0.2">
      <c r="A225" s="1" t="s">
        <v>144</v>
      </c>
      <c r="B225" s="3" t="s">
        <v>280</v>
      </c>
      <c r="C225" s="3" t="s">
        <v>6</v>
      </c>
      <c r="D225" s="3" t="s">
        <v>50</v>
      </c>
      <c r="E225" s="3" t="s">
        <v>145</v>
      </c>
      <c r="F225" s="3"/>
      <c r="G225" s="31">
        <f>SUM(G226:G227)</f>
        <v>3516</v>
      </c>
    </row>
    <row r="226" spans="1:7" ht="60" x14ac:dyDescent="0.2">
      <c r="A226" s="44" t="s">
        <v>108</v>
      </c>
      <c r="B226" s="3" t="s">
        <v>280</v>
      </c>
      <c r="C226" s="3" t="s">
        <v>6</v>
      </c>
      <c r="D226" s="3" t="s">
        <v>50</v>
      </c>
      <c r="E226" s="3" t="s">
        <v>145</v>
      </c>
      <c r="F226" s="3" t="s">
        <v>103</v>
      </c>
      <c r="G226" s="31">
        <f>2810.4+445.5</f>
        <v>3255.9</v>
      </c>
    </row>
    <row r="227" spans="1:7" ht="30" x14ac:dyDescent="0.2">
      <c r="A227" s="44" t="s">
        <v>102</v>
      </c>
      <c r="B227" s="3" t="s">
        <v>280</v>
      </c>
      <c r="C227" s="3" t="s">
        <v>6</v>
      </c>
      <c r="D227" s="3" t="s">
        <v>50</v>
      </c>
      <c r="E227" s="3" t="s">
        <v>145</v>
      </c>
      <c r="F227" s="3" t="s">
        <v>101</v>
      </c>
      <c r="G227" s="31">
        <v>260.10000000000002</v>
      </c>
    </row>
    <row r="228" spans="1:7" ht="45" x14ac:dyDescent="0.2">
      <c r="A228" s="44" t="s">
        <v>725</v>
      </c>
      <c r="B228" s="3" t="s">
        <v>280</v>
      </c>
      <c r="C228" s="3" t="s">
        <v>6</v>
      </c>
      <c r="D228" s="3" t="s">
        <v>50</v>
      </c>
      <c r="E228" s="3" t="s">
        <v>729</v>
      </c>
      <c r="F228" s="3"/>
      <c r="G228" s="31">
        <f>G229</f>
        <v>4758</v>
      </c>
    </row>
    <row r="229" spans="1:7" ht="45" x14ac:dyDescent="0.2">
      <c r="A229" s="44" t="s">
        <v>726</v>
      </c>
      <c r="B229" s="3" t="s">
        <v>280</v>
      </c>
      <c r="C229" s="3" t="s">
        <v>6</v>
      </c>
      <c r="D229" s="3" t="s">
        <v>50</v>
      </c>
      <c r="E229" s="3" t="s">
        <v>730</v>
      </c>
      <c r="F229" s="3"/>
      <c r="G229" s="31">
        <f>G230</f>
        <v>4758</v>
      </c>
    </row>
    <row r="230" spans="1:7" ht="45" x14ac:dyDescent="0.2">
      <c r="A230" s="44" t="s">
        <v>727</v>
      </c>
      <c r="B230" s="3" t="s">
        <v>280</v>
      </c>
      <c r="C230" s="3" t="s">
        <v>6</v>
      </c>
      <c r="D230" s="3" t="s">
        <v>50</v>
      </c>
      <c r="E230" s="3" t="s">
        <v>731</v>
      </c>
      <c r="F230" s="3"/>
      <c r="G230" s="31">
        <f>G231</f>
        <v>4758</v>
      </c>
    </row>
    <row r="231" spans="1:7" ht="45" x14ac:dyDescent="0.2">
      <c r="A231" s="44" t="s">
        <v>728</v>
      </c>
      <c r="B231" s="3" t="s">
        <v>280</v>
      </c>
      <c r="C231" s="3" t="s">
        <v>6</v>
      </c>
      <c r="D231" s="3" t="s">
        <v>50</v>
      </c>
      <c r="E231" s="3" t="s">
        <v>732</v>
      </c>
      <c r="F231" s="3"/>
      <c r="G231" s="31">
        <f>G232</f>
        <v>4758</v>
      </c>
    </row>
    <row r="232" spans="1:7" x14ac:dyDescent="0.2">
      <c r="A232" s="44" t="s">
        <v>109</v>
      </c>
      <c r="B232" s="3" t="s">
        <v>280</v>
      </c>
      <c r="C232" s="3" t="s">
        <v>6</v>
      </c>
      <c r="D232" s="3" t="s">
        <v>50</v>
      </c>
      <c r="E232" s="3" t="s">
        <v>732</v>
      </c>
      <c r="F232" s="3" t="s">
        <v>104</v>
      </c>
      <c r="G232" s="31">
        <f>2768+1990</f>
        <v>4758</v>
      </c>
    </row>
    <row r="233" spans="1:7" x14ac:dyDescent="0.2">
      <c r="A233" s="20" t="s">
        <v>115</v>
      </c>
      <c r="B233" s="3" t="s">
        <v>280</v>
      </c>
      <c r="C233" s="3" t="s">
        <v>6</v>
      </c>
      <c r="D233" s="3" t="s">
        <v>50</v>
      </c>
      <c r="E233" s="55" t="s">
        <v>122</v>
      </c>
      <c r="F233" s="19"/>
      <c r="G233" s="47">
        <f>G234+G236+G239</f>
        <v>4560.2</v>
      </c>
    </row>
    <row r="234" spans="1:7" x14ac:dyDescent="0.2">
      <c r="A234" s="44" t="s">
        <v>94</v>
      </c>
      <c r="B234" s="3" t="s">
        <v>280</v>
      </c>
      <c r="C234" s="3" t="s">
        <v>6</v>
      </c>
      <c r="D234" s="3" t="s">
        <v>50</v>
      </c>
      <c r="E234" s="55" t="s">
        <v>146</v>
      </c>
      <c r="F234" s="19"/>
      <c r="G234" s="47">
        <f>G235</f>
        <v>189.8</v>
      </c>
    </row>
    <row r="235" spans="1:7" x14ac:dyDescent="0.2">
      <c r="A235" s="44" t="s">
        <v>109</v>
      </c>
      <c r="B235" s="3" t="s">
        <v>280</v>
      </c>
      <c r="C235" s="3" t="s">
        <v>6</v>
      </c>
      <c r="D235" s="3" t="s">
        <v>50</v>
      </c>
      <c r="E235" s="55" t="s">
        <v>146</v>
      </c>
      <c r="F235" s="19" t="s">
        <v>104</v>
      </c>
      <c r="G235" s="47">
        <v>189.8</v>
      </c>
    </row>
    <row r="236" spans="1:7" ht="45" x14ac:dyDescent="0.2">
      <c r="A236" s="45" t="s">
        <v>62</v>
      </c>
      <c r="B236" s="3" t="s">
        <v>280</v>
      </c>
      <c r="C236" s="3" t="s">
        <v>6</v>
      </c>
      <c r="D236" s="3" t="s">
        <v>50</v>
      </c>
      <c r="E236" s="3" t="s">
        <v>124</v>
      </c>
      <c r="F236" s="19"/>
      <c r="G236" s="47">
        <f>G237+G238</f>
        <v>1696.4</v>
      </c>
    </row>
    <row r="237" spans="1:7" ht="60" x14ac:dyDescent="0.2">
      <c r="A237" s="44" t="s">
        <v>108</v>
      </c>
      <c r="B237" s="3" t="s">
        <v>280</v>
      </c>
      <c r="C237" s="3" t="s">
        <v>6</v>
      </c>
      <c r="D237" s="3" t="s">
        <v>50</v>
      </c>
      <c r="E237" s="3" t="s">
        <v>124</v>
      </c>
      <c r="F237" s="19" t="s">
        <v>103</v>
      </c>
      <c r="G237" s="47">
        <f>1132.3+390.7+33</f>
        <v>1556</v>
      </c>
    </row>
    <row r="238" spans="1:7" ht="30" x14ac:dyDescent="0.2">
      <c r="A238" s="44" t="s">
        <v>102</v>
      </c>
      <c r="B238" s="3" t="s">
        <v>280</v>
      </c>
      <c r="C238" s="3" t="s">
        <v>6</v>
      </c>
      <c r="D238" s="3" t="s">
        <v>50</v>
      </c>
      <c r="E238" s="3" t="s">
        <v>124</v>
      </c>
      <c r="F238" s="19" t="s">
        <v>101</v>
      </c>
      <c r="G238" s="47">
        <v>140.4</v>
      </c>
    </row>
    <row r="239" spans="1:7" ht="30" x14ac:dyDescent="0.2">
      <c r="A239" s="45" t="s">
        <v>100</v>
      </c>
      <c r="B239" s="3" t="s">
        <v>280</v>
      </c>
      <c r="C239" s="3" t="s">
        <v>6</v>
      </c>
      <c r="D239" s="3" t="s">
        <v>50</v>
      </c>
      <c r="E239" s="19" t="s">
        <v>126</v>
      </c>
      <c r="F239" s="19"/>
      <c r="G239" s="47">
        <f>G240+G242+G244</f>
        <v>2674</v>
      </c>
    </row>
    <row r="240" spans="1:7" ht="30" x14ac:dyDescent="0.2">
      <c r="A240" s="44" t="s">
        <v>707</v>
      </c>
      <c r="B240" s="3" t="s">
        <v>280</v>
      </c>
      <c r="C240" s="3" t="s">
        <v>6</v>
      </c>
      <c r="D240" s="3" t="s">
        <v>50</v>
      </c>
      <c r="E240" s="19" t="s">
        <v>708</v>
      </c>
      <c r="F240" s="19"/>
      <c r="G240" s="47">
        <f>G241</f>
        <v>424.9</v>
      </c>
    </row>
    <row r="241" spans="1:7" ht="60" x14ac:dyDescent="0.2">
      <c r="A241" s="44" t="s">
        <v>108</v>
      </c>
      <c r="B241" s="3" t="s">
        <v>280</v>
      </c>
      <c r="C241" s="3" t="s">
        <v>6</v>
      </c>
      <c r="D241" s="3" t="s">
        <v>50</v>
      </c>
      <c r="E241" s="19" t="s">
        <v>708</v>
      </c>
      <c r="F241" s="19" t="s">
        <v>103</v>
      </c>
      <c r="G241" s="47">
        <f>115.6+297.7+11.6</f>
        <v>424.9</v>
      </c>
    </row>
    <row r="242" spans="1:7" x14ac:dyDescent="0.2">
      <c r="A242" s="45" t="s">
        <v>42</v>
      </c>
      <c r="B242" s="3" t="s">
        <v>280</v>
      </c>
      <c r="C242" s="3" t="s">
        <v>6</v>
      </c>
      <c r="D242" s="3" t="s">
        <v>50</v>
      </c>
      <c r="E242" s="19" t="s">
        <v>461</v>
      </c>
      <c r="F242" s="19"/>
      <c r="G242" s="47">
        <f>G243</f>
        <v>49.7</v>
      </c>
    </row>
    <row r="243" spans="1:7" ht="30" x14ac:dyDescent="0.2">
      <c r="A243" s="44" t="s">
        <v>102</v>
      </c>
      <c r="B243" s="3" t="s">
        <v>280</v>
      </c>
      <c r="C243" s="3" t="s">
        <v>6</v>
      </c>
      <c r="D243" s="3" t="s">
        <v>50</v>
      </c>
      <c r="E243" s="19" t="s">
        <v>461</v>
      </c>
      <c r="F243" s="19" t="s">
        <v>101</v>
      </c>
      <c r="G243" s="47">
        <f>47.7+2</f>
        <v>49.7</v>
      </c>
    </row>
    <row r="244" spans="1:7" ht="30" x14ac:dyDescent="0.2">
      <c r="A244" s="44" t="s">
        <v>516</v>
      </c>
      <c r="B244" s="3" t="s">
        <v>280</v>
      </c>
      <c r="C244" s="3" t="s">
        <v>6</v>
      </c>
      <c r="D244" s="3" t="s">
        <v>50</v>
      </c>
      <c r="E244" s="19" t="s">
        <v>517</v>
      </c>
      <c r="F244" s="19"/>
      <c r="G244" s="47">
        <f>G245</f>
        <v>2199.4</v>
      </c>
    </row>
    <row r="245" spans="1:7" ht="60" x14ac:dyDescent="0.2">
      <c r="A245" s="44" t="s">
        <v>108</v>
      </c>
      <c r="B245" s="3" t="s">
        <v>280</v>
      </c>
      <c r="C245" s="3" t="s">
        <v>6</v>
      </c>
      <c r="D245" s="3" t="s">
        <v>50</v>
      </c>
      <c r="E245" s="19" t="s">
        <v>517</v>
      </c>
      <c r="F245" s="19" t="s">
        <v>103</v>
      </c>
      <c r="G245" s="47">
        <f>953.1+378.6+830.1+37.6</f>
        <v>2199.4</v>
      </c>
    </row>
    <row r="246" spans="1:7" x14ac:dyDescent="0.2">
      <c r="A246" s="9" t="s">
        <v>14</v>
      </c>
      <c r="B246" s="3" t="s">
        <v>280</v>
      </c>
      <c r="C246" s="3" t="s">
        <v>15</v>
      </c>
      <c r="D246" s="3"/>
      <c r="E246" s="3"/>
      <c r="F246" s="3"/>
      <c r="G246" s="32">
        <f>G247</f>
        <v>26954.1</v>
      </c>
    </row>
    <row r="247" spans="1:7" ht="30" x14ac:dyDescent="0.2">
      <c r="A247" s="9" t="s">
        <v>151</v>
      </c>
      <c r="B247" s="3" t="s">
        <v>280</v>
      </c>
      <c r="C247" s="3" t="s">
        <v>15</v>
      </c>
      <c r="D247" s="3" t="s">
        <v>27</v>
      </c>
      <c r="E247" s="3"/>
      <c r="F247" s="3"/>
      <c r="G247" s="32">
        <f>G248</f>
        <v>26954.1</v>
      </c>
    </row>
    <row r="248" spans="1:7" ht="30" x14ac:dyDescent="0.2">
      <c r="A248" s="44" t="s">
        <v>462</v>
      </c>
      <c r="B248" s="3" t="s">
        <v>280</v>
      </c>
      <c r="C248" s="3" t="s">
        <v>15</v>
      </c>
      <c r="D248" s="3" t="s">
        <v>27</v>
      </c>
      <c r="E248" s="3" t="s">
        <v>464</v>
      </c>
      <c r="F248" s="19"/>
      <c r="G248" s="28">
        <f>G249</f>
        <v>26954.1</v>
      </c>
    </row>
    <row r="249" spans="1:7" ht="45" x14ac:dyDescent="0.2">
      <c r="A249" s="45" t="s">
        <v>469</v>
      </c>
      <c r="B249" s="3" t="s">
        <v>280</v>
      </c>
      <c r="C249" s="19" t="s">
        <v>15</v>
      </c>
      <c r="D249" s="19" t="s">
        <v>27</v>
      </c>
      <c r="E249" s="3" t="s">
        <v>465</v>
      </c>
      <c r="F249" s="19"/>
      <c r="G249" s="28">
        <f>G250</f>
        <v>26954.1</v>
      </c>
    </row>
    <row r="250" spans="1:7" ht="30" x14ac:dyDescent="0.2">
      <c r="A250" s="44" t="s">
        <v>466</v>
      </c>
      <c r="B250" s="3" t="s">
        <v>280</v>
      </c>
      <c r="C250" s="19" t="s">
        <v>15</v>
      </c>
      <c r="D250" s="19" t="s">
        <v>27</v>
      </c>
      <c r="E250" s="3" t="s">
        <v>467</v>
      </c>
      <c r="F250" s="19"/>
      <c r="G250" s="28">
        <f>G251+G252</f>
        <v>26954.1</v>
      </c>
    </row>
    <row r="251" spans="1:7" ht="60" x14ac:dyDescent="0.2">
      <c r="A251" s="44" t="s">
        <v>108</v>
      </c>
      <c r="B251" s="3" t="s">
        <v>280</v>
      </c>
      <c r="C251" s="19" t="s">
        <v>15</v>
      </c>
      <c r="D251" s="19" t="s">
        <v>27</v>
      </c>
      <c r="E251" s="19" t="s">
        <v>467</v>
      </c>
      <c r="F251" s="19" t="s">
        <v>103</v>
      </c>
      <c r="G251" s="28">
        <f>16073.2+1803.8+3666.7+4895.3</f>
        <v>26439</v>
      </c>
    </row>
    <row r="252" spans="1:7" ht="30" x14ac:dyDescent="0.2">
      <c r="A252" s="44" t="s">
        <v>102</v>
      </c>
      <c r="B252" s="3" t="s">
        <v>280</v>
      </c>
      <c r="C252" s="19" t="s">
        <v>15</v>
      </c>
      <c r="D252" s="19" t="s">
        <v>27</v>
      </c>
      <c r="E252" s="19" t="s">
        <v>467</v>
      </c>
      <c r="F252" s="19" t="s">
        <v>101</v>
      </c>
      <c r="G252" s="28">
        <f>111.9+403.2</f>
        <v>515.1</v>
      </c>
    </row>
    <row r="253" spans="1:7" x14ac:dyDescent="0.2">
      <c r="A253" s="1" t="s">
        <v>19</v>
      </c>
      <c r="B253" s="3" t="s">
        <v>280</v>
      </c>
      <c r="C253" s="3" t="s">
        <v>7</v>
      </c>
      <c r="D253" s="3"/>
      <c r="E253" s="3"/>
      <c r="F253" s="3"/>
      <c r="G253" s="8">
        <f>G254</f>
        <v>286818</v>
      </c>
    </row>
    <row r="254" spans="1:7" x14ac:dyDescent="0.2">
      <c r="A254" s="1" t="s">
        <v>121</v>
      </c>
      <c r="B254" s="3" t="s">
        <v>280</v>
      </c>
      <c r="C254" s="3" t="s">
        <v>7</v>
      </c>
      <c r="D254" s="3" t="s">
        <v>17</v>
      </c>
      <c r="E254" s="3"/>
      <c r="F254" s="3"/>
      <c r="G254" s="8">
        <f>G255</f>
        <v>286818</v>
      </c>
    </row>
    <row r="255" spans="1:7" ht="30" x14ac:dyDescent="0.2">
      <c r="A255" s="1" t="s">
        <v>127</v>
      </c>
      <c r="B255" s="3" t="s">
        <v>280</v>
      </c>
      <c r="C255" s="10" t="s">
        <v>7</v>
      </c>
      <c r="D255" s="10" t="s">
        <v>17</v>
      </c>
      <c r="E255" s="3" t="s">
        <v>128</v>
      </c>
      <c r="F255" s="3"/>
      <c r="G255" s="31">
        <f>G256</f>
        <v>286818</v>
      </c>
    </row>
    <row r="256" spans="1:7" ht="30" x14ac:dyDescent="0.2">
      <c r="A256" s="44" t="s">
        <v>325</v>
      </c>
      <c r="B256" s="3" t="s">
        <v>280</v>
      </c>
      <c r="C256" s="19" t="s">
        <v>7</v>
      </c>
      <c r="D256" s="19" t="s">
        <v>17</v>
      </c>
      <c r="E256" s="3" t="s">
        <v>129</v>
      </c>
      <c r="F256" s="19"/>
      <c r="G256" s="47">
        <f>G257</f>
        <v>286818</v>
      </c>
    </row>
    <row r="257" spans="1:7" ht="45" x14ac:dyDescent="0.2">
      <c r="A257" s="44" t="s">
        <v>423</v>
      </c>
      <c r="B257" s="3" t="s">
        <v>280</v>
      </c>
      <c r="C257" s="19" t="s">
        <v>7</v>
      </c>
      <c r="D257" s="19" t="s">
        <v>17</v>
      </c>
      <c r="E257" s="3" t="s">
        <v>326</v>
      </c>
      <c r="F257" s="19"/>
      <c r="G257" s="28">
        <f>G258</f>
        <v>286818</v>
      </c>
    </row>
    <row r="258" spans="1:7" ht="30" x14ac:dyDescent="0.2">
      <c r="A258" s="44" t="s">
        <v>102</v>
      </c>
      <c r="B258" s="3" t="s">
        <v>280</v>
      </c>
      <c r="C258" s="19" t="s">
        <v>7</v>
      </c>
      <c r="D258" s="19" t="s">
        <v>17</v>
      </c>
      <c r="E258" s="3" t="s">
        <v>326</v>
      </c>
      <c r="F258" s="19" t="s">
        <v>101</v>
      </c>
      <c r="G258" s="28">
        <v>286818</v>
      </c>
    </row>
    <row r="259" spans="1:7" x14ac:dyDescent="0.2">
      <c r="A259" s="1" t="s">
        <v>22</v>
      </c>
      <c r="B259" s="3" t="s">
        <v>280</v>
      </c>
      <c r="C259" s="3" t="s">
        <v>9</v>
      </c>
      <c r="D259" s="3"/>
      <c r="E259" s="19"/>
      <c r="F259" s="19"/>
      <c r="G259" s="31">
        <f>G260</f>
        <v>13805.300000000001</v>
      </c>
    </row>
    <row r="260" spans="1:7" x14ac:dyDescent="0.2">
      <c r="A260" s="9" t="s">
        <v>43</v>
      </c>
      <c r="B260" s="3" t="s">
        <v>280</v>
      </c>
      <c r="C260" s="10" t="s">
        <v>9</v>
      </c>
      <c r="D260" s="10" t="s">
        <v>15</v>
      </c>
      <c r="E260" s="3"/>
      <c r="F260" s="10"/>
      <c r="G260" s="32">
        <f>G261</f>
        <v>13805.300000000001</v>
      </c>
    </row>
    <row r="261" spans="1:7" ht="30" x14ac:dyDescent="0.2">
      <c r="A261" s="1" t="s">
        <v>127</v>
      </c>
      <c r="B261" s="3" t="s">
        <v>280</v>
      </c>
      <c r="C261" s="10" t="s">
        <v>9</v>
      </c>
      <c r="D261" s="10" t="s">
        <v>15</v>
      </c>
      <c r="E261" s="3" t="s">
        <v>128</v>
      </c>
      <c r="F261" s="7"/>
      <c r="G261" s="32">
        <f>G262</f>
        <v>13805.300000000001</v>
      </c>
    </row>
    <row r="262" spans="1:7" ht="30" x14ac:dyDescent="0.2">
      <c r="A262" s="1" t="s">
        <v>331</v>
      </c>
      <c r="B262" s="3" t="s">
        <v>280</v>
      </c>
      <c r="C262" s="10" t="s">
        <v>9</v>
      </c>
      <c r="D262" s="10" t="s">
        <v>15</v>
      </c>
      <c r="E262" s="3" t="s">
        <v>129</v>
      </c>
      <c r="F262" s="7"/>
      <c r="G262" s="32">
        <f>G263+G265</f>
        <v>13805.300000000001</v>
      </c>
    </row>
    <row r="263" spans="1:7" x14ac:dyDescent="0.2">
      <c r="A263" s="51" t="s">
        <v>327</v>
      </c>
      <c r="B263" s="3" t="s">
        <v>280</v>
      </c>
      <c r="C263" s="23" t="s">
        <v>9</v>
      </c>
      <c r="D263" s="23" t="s">
        <v>15</v>
      </c>
      <c r="E263" s="3" t="s">
        <v>328</v>
      </c>
      <c r="F263" s="10"/>
      <c r="G263" s="32">
        <f>G264</f>
        <v>5121.1000000000004</v>
      </c>
    </row>
    <row r="264" spans="1:7" ht="30" x14ac:dyDescent="0.2">
      <c r="A264" s="44" t="s">
        <v>102</v>
      </c>
      <c r="B264" s="3" t="s">
        <v>280</v>
      </c>
      <c r="C264" s="23" t="s">
        <v>9</v>
      </c>
      <c r="D264" s="23" t="s">
        <v>15</v>
      </c>
      <c r="E264" s="3" t="s">
        <v>328</v>
      </c>
      <c r="F264" s="10" t="s">
        <v>101</v>
      </c>
      <c r="G264" s="32">
        <v>5121.1000000000004</v>
      </c>
    </row>
    <row r="265" spans="1:7" ht="30" x14ac:dyDescent="0.2">
      <c r="A265" s="9" t="s">
        <v>329</v>
      </c>
      <c r="B265" s="3" t="s">
        <v>280</v>
      </c>
      <c r="C265" s="23" t="s">
        <v>9</v>
      </c>
      <c r="D265" s="23" t="s">
        <v>15</v>
      </c>
      <c r="E265" s="3" t="s">
        <v>330</v>
      </c>
      <c r="F265" s="10"/>
      <c r="G265" s="32">
        <f>G266</f>
        <v>8684.2000000000007</v>
      </c>
    </row>
    <row r="266" spans="1:7" ht="30" x14ac:dyDescent="0.2">
      <c r="A266" s="44" t="s">
        <v>102</v>
      </c>
      <c r="B266" s="3" t="s">
        <v>280</v>
      </c>
      <c r="C266" s="23" t="s">
        <v>9</v>
      </c>
      <c r="D266" s="23" t="s">
        <v>15</v>
      </c>
      <c r="E266" s="3" t="s">
        <v>330</v>
      </c>
      <c r="F266" s="10" t="s">
        <v>101</v>
      </c>
      <c r="G266" s="32">
        <v>8684.2000000000007</v>
      </c>
    </row>
    <row r="267" spans="1:7" x14ac:dyDescent="0.2">
      <c r="A267" s="1" t="s">
        <v>29</v>
      </c>
      <c r="B267" s="3" t="s">
        <v>280</v>
      </c>
      <c r="C267" s="19" t="s">
        <v>30</v>
      </c>
      <c r="D267" s="19"/>
      <c r="E267" s="3"/>
      <c r="F267" s="19"/>
      <c r="G267" s="47">
        <f t="shared" ref="G267:G268" si="0">G268</f>
        <v>35</v>
      </c>
    </row>
    <row r="268" spans="1:7" x14ac:dyDescent="0.2">
      <c r="A268" s="1" t="s">
        <v>475</v>
      </c>
      <c r="B268" s="3" t="s">
        <v>280</v>
      </c>
      <c r="C268" s="3" t="s">
        <v>30</v>
      </c>
      <c r="D268" s="3" t="s">
        <v>30</v>
      </c>
      <c r="E268" s="3"/>
      <c r="F268" s="19"/>
      <c r="G268" s="47">
        <f t="shared" si="0"/>
        <v>35</v>
      </c>
    </row>
    <row r="269" spans="1:7" ht="30" x14ac:dyDescent="0.2">
      <c r="A269" s="44" t="s">
        <v>553</v>
      </c>
      <c r="B269" s="3" t="s">
        <v>280</v>
      </c>
      <c r="C269" s="19" t="s">
        <v>30</v>
      </c>
      <c r="D269" s="19" t="s">
        <v>30</v>
      </c>
      <c r="E269" s="3" t="s">
        <v>332</v>
      </c>
      <c r="F269" s="19"/>
      <c r="G269" s="47">
        <f>G270</f>
        <v>35</v>
      </c>
    </row>
    <row r="270" spans="1:7" ht="30" x14ac:dyDescent="0.2">
      <c r="A270" s="44" t="s">
        <v>130</v>
      </c>
      <c r="B270" s="3" t="s">
        <v>280</v>
      </c>
      <c r="C270" s="19" t="s">
        <v>30</v>
      </c>
      <c r="D270" s="19" t="s">
        <v>30</v>
      </c>
      <c r="E270" s="3" t="s">
        <v>333</v>
      </c>
      <c r="F270" s="3"/>
      <c r="G270" s="47">
        <f>G271</f>
        <v>35</v>
      </c>
    </row>
    <row r="271" spans="1:7" ht="30" x14ac:dyDescent="0.2">
      <c r="A271" s="9" t="s">
        <v>459</v>
      </c>
      <c r="B271" s="3" t="s">
        <v>280</v>
      </c>
      <c r="C271" s="19" t="s">
        <v>30</v>
      </c>
      <c r="D271" s="19" t="s">
        <v>30</v>
      </c>
      <c r="E271" s="3" t="s">
        <v>334</v>
      </c>
      <c r="F271" s="19"/>
      <c r="G271" s="47">
        <f>G272</f>
        <v>35</v>
      </c>
    </row>
    <row r="272" spans="1:7" x14ac:dyDescent="0.2">
      <c r="A272" s="9" t="s">
        <v>460</v>
      </c>
      <c r="B272" s="3" t="s">
        <v>280</v>
      </c>
      <c r="C272" s="19" t="s">
        <v>30</v>
      </c>
      <c r="D272" s="19" t="s">
        <v>30</v>
      </c>
      <c r="E272" s="3" t="s">
        <v>335</v>
      </c>
      <c r="F272" s="19"/>
      <c r="G272" s="47">
        <f>G273</f>
        <v>35</v>
      </c>
    </row>
    <row r="273" spans="1:7" ht="30" x14ac:dyDescent="0.2">
      <c r="A273" s="44" t="s">
        <v>102</v>
      </c>
      <c r="B273" s="3" t="s">
        <v>280</v>
      </c>
      <c r="C273" s="19" t="s">
        <v>30</v>
      </c>
      <c r="D273" s="19" t="s">
        <v>30</v>
      </c>
      <c r="E273" s="3" t="s">
        <v>335</v>
      </c>
      <c r="F273" s="19" t="s">
        <v>101</v>
      </c>
      <c r="G273" s="47">
        <v>35</v>
      </c>
    </row>
    <row r="274" spans="1:7" x14ac:dyDescent="0.2">
      <c r="A274" s="9" t="s">
        <v>182</v>
      </c>
      <c r="B274" s="3" t="s">
        <v>280</v>
      </c>
      <c r="C274" s="19" t="s">
        <v>21</v>
      </c>
      <c r="D274" s="19"/>
      <c r="E274" s="3"/>
      <c r="F274" s="19"/>
      <c r="G274" s="47">
        <f t="shared" ref="G274:G279" si="1">G275</f>
        <v>831.09999999999991</v>
      </c>
    </row>
    <row r="275" spans="1:7" x14ac:dyDescent="0.2">
      <c r="A275" s="1" t="s">
        <v>183</v>
      </c>
      <c r="B275" s="3" t="s">
        <v>280</v>
      </c>
      <c r="C275" s="19" t="s">
        <v>21</v>
      </c>
      <c r="D275" s="19" t="s">
        <v>6</v>
      </c>
      <c r="E275" s="3"/>
      <c r="F275" s="19"/>
      <c r="G275" s="47">
        <f t="shared" si="1"/>
        <v>831.09999999999991</v>
      </c>
    </row>
    <row r="276" spans="1:7" ht="30" x14ac:dyDescent="0.2">
      <c r="A276" s="44" t="s">
        <v>551</v>
      </c>
      <c r="B276" s="3" t="s">
        <v>280</v>
      </c>
      <c r="C276" s="19" t="s">
        <v>21</v>
      </c>
      <c r="D276" s="19" t="s">
        <v>6</v>
      </c>
      <c r="E276" s="57" t="s">
        <v>161</v>
      </c>
      <c r="F276" s="19"/>
      <c r="G276" s="47">
        <f t="shared" si="1"/>
        <v>831.09999999999991</v>
      </c>
    </row>
    <row r="277" spans="1:7" x14ac:dyDescent="0.2">
      <c r="A277" s="20" t="s">
        <v>162</v>
      </c>
      <c r="B277" s="3" t="s">
        <v>280</v>
      </c>
      <c r="C277" s="19" t="s">
        <v>21</v>
      </c>
      <c r="D277" s="19" t="s">
        <v>6</v>
      </c>
      <c r="E277" s="19" t="s">
        <v>163</v>
      </c>
      <c r="F277" s="19"/>
      <c r="G277" s="47">
        <f t="shared" si="1"/>
        <v>831.09999999999991</v>
      </c>
    </row>
    <row r="278" spans="1:7" ht="30" x14ac:dyDescent="0.2">
      <c r="A278" s="20" t="s">
        <v>210</v>
      </c>
      <c r="B278" s="3" t="s">
        <v>280</v>
      </c>
      <c r="C278" s="3" t="s">
        <v>21</v>
      </c>
      <c r="D278" s="3" t="s">
        <v>6</v>
      </c>
      <c r="E278" s="19" t="s">
        <v>211</v>
      </c>
      <c r="F278" s="3"/>
      <c r="G278" s="32">
        <f t="shared" si="1"/>
        <v>831.09999999999991</v>
      </c>
    </row>
    <row r="279" spans="1:7" x14ac:dyDescent="0.2">
      <c r="A279" s="20" t="s">
        <v>212</v>
      </c>
      <c r="B279" s="3" t="s">
        <v>280</v>
      </c>
      <c r="C279" s="3" t="s">
        <v>21</v>
      </c>
      <c r="D279" s="3" t="s">
        <v>6</v>
      </c>
      <c r="E279" s="19" t="s">
        <v>213</v>
      </c>
      <c r="F279" s="3"/>
      <c r="G279" s="32">
        <f t="shared" si="1"/>
        <v>831.09999999999991</v>
      </c>
    </row>
    <row r="280" spans="1:7" ht="30" x14ac:dyDescent="0.2">
      <c r="A280" s="44" t="s">
        <v>102</v>
      </c>
      <c r="B280" s="3" t="s">
        <v>280</v>
      </c>
      <c r="C280" s="3" t="s">
        <v>21</v>
      </c>
      <c r="D280" s="3" t="s">
        <v>6</v>
      </c>
      <c r="E280" s="19" t="s">
        <v>213</v>
      </c>
      <c r="F280" s="3" t="s">
        <v>101</v>
      </c>
      <c r="G280" s="32">
        <f>469.4+361.7</f>
        <v>831.09999999999991</v>
      </c>
    </row>
    <row r="281" spans="1:7" x14ac:dyDescent="0.2">
      <c r="A281" s="1" t="s">
        <v>28</v>
      </c>
      <c r="B281" s="3" t="s">
        <v>280</v>
      </c>
      <c r="C281" s="3" t="s">
        <v>47</v>
      </c>
      <c r="D281" s="3"/>
      <c r="E281" s="3"/>
      <c r="F281" s="3"/>
      <c r="G281" s="32">
        <f t="shared" ref="G281:G286" si="2">G282</f>
        <v>466.7</v>
      </c>
    </row>
    <row r="282" spans="1:7" x14ac:dyDescent="0.2">
      <c r="A282" s="68" t="s">
        <v>52</v>
      </c>
      <c r="B282" s="3" t="s">
        <v>280</v>
      </c>
      <c r="C282" s="3" t="s">
        <v>47</v>
      </c>
      <c r="D282" s="3" t="s">
        <v>16</v>
      </c>
      <c r="E282" s="3"/>
      <c r="F282" s="3"/>
      <c r="G282" s="32">
        <f t="shared" si="2"/>
        <v>466.7</v>
      </c>
    </row>
    <row r="283" spans="1:7" ht="30" x14ac:dyDescent="0.2">
      <c r="A283" s="44" t="s">
        <v>552</v>
      </c>
      <c r="B283" s="3" t="s">
        <v>280</v>
      </c>
      <c r="C283" s="19" t="s">
        <v>47</v>
      </c>
      <c r="D283" s="19" t="s">
        <v>16</v>
      </c>
      <c r="E283" s="3" t="s">
        <v>336</v>
      </c>
      <c r="F283" s="19"/>
      <c r="G283" s="28">
        <f t="shared" si="2"/>
        <v>466.7</v>
      </c>
    </row>
    <row r="284" spans="1:7" ht="30" x14ac:dyDescent="0.2">
      <c r="A284" s="9" t="s">
        <v>152</v>
      </c>
      <c r="B284" s="3" t="s">
        <v>280</v>
      </c>
      <c r="C284" s="19" t="s">
        <v>47</v>
      </c>
      <c r="D284" s="19" t="s">
        <v>16</v>
      </c>
      <c r="E284" s="3" t="s">
        <v>341</v>
      </c>
      <c r="F284" s="19"/>
      <c r="G284" s="47">
        <f t="shared" si="2"/>
        <v>466.7</v>
      </c>
    </row>
    <row r="285" spans="1:7" ht="30" x14ac:dyDescent="0.2">
      <c r="A285" s="44" t="s">
        <v>337</v>
      </c>
      <c r="B285" s="3" t="s">
        <v>280</v>
      </c>
      <c r="C285" s="19" t="s">
        <v>47</v>
      </c>
      <c r="D285" s="19" t="s">
        <v>16</v>
      </c>
      <c r="E285" s="3" t="s">
        <v>338</v>
      </c>
      <c r="F285" s="19"/>
      <c r="G285" s="47">
        <f t="shared" si="2"/>
        <v>466.7</v>
      </c>
    </row>
    <row r="286" spans="1:7" ht="30" x14ac:dyDescent="0.2">
      <c r="A286" s="44" t="s">
        <v>339</v>
      </c>
      <c r="B286" s="3" t="s">
        <v>280</v>
      </c>
      <c r="C286" s="19" t="s">
        <v>47</v>
      </c>
      <c r="D286" s="19" t="s">
        <v>16</v>
      </c>
      <c r="E286" s="3" t="s">
        <v>340</v>
      </c>
      <c r="F286" s="19"/>
      <c r="G286" s="47">
        <f t="shared" si="2"/>
        <v>466.7</v>
      </c>
    </row>
    <row r="287" spans="1:7" ht="30" x14ac:dyDescent="0.2">
      <c r="A287" s="44" t="s">
        <v>102</v>
      </c>
      <c r="B287" s="3" t="s">
        <v>280</v>
      </c>
      <c r="C287" s="19" t="s">
        <v>47</v>
      </c>
      <c r="D287" s="19" t="s">
        <v>16</v>
      </c>
      <c r="E287" s="3" t="s">
        <v>340</v>
      </c>
      <c r="F287" s="19" t="s">
        <v>101</v>
      </c>
      <c r="G287" s="47">
        <v>466.7</v>
      </c>
    </row>
    <row r="288" spans="1:7" x14ac:dyDescent="0.2">
      <c r="B288" s="3"/>
      <c r="C288" s="3"/>
      <c r="D288" s="3"/>
      <c r="E288" s="3"/>
      <c r="F288" s="3"/>
      <c r="G288" s="31"/>
    </row>
    <row r="289" spans="1:7" ht="28.5" x14ac:dyDescent="0.2">
      <c r="A289" s="14" t="s">
        <v>70</v>
      </c>
      <c r="B289" s="12" t="s">
        <v>281</v>
      </c>
      <c r="C289" s="12"/>
      <c r="D289" s="12"/>
      <c r="E289" s="12"/>
      <c r="F289" s="12"/>
      <c r="G289" s="91">
        <f>G290</f>
        <v>51028.799999999996</v>
      </c>
    </row>
    <row r="290" spans="1:7" x14ac:dyDescent="0.2">
      <c r="A290" s="1" t="s">
        <v>5</v>
      </c>
      <c r="B290" s="3" t="s">
        <v>281</v>
      </c>
      <c r="C290" s="3" t="s">
        <v>6</v>
      </c>
      <c r="D290" s="3"/>
      <c r="E290" s="13"/>
      <c r="F290" s="3"/>
      <c r="G290" s="32">
        <f>G291+G295+G301</f>
        <v>51028.799999999996</v>
      </c>
    </row>
    <row r="291" spans="1:7" ht="30" x14ac:dyDescent="0.2">
      <c r="A291" s="9" t="s">
        <v>24</v>
      </c>
      <c r="B291" s="3" t="s">
        <v>281</v>
      </c>
      <c r="C291" s="3" t="s">
        <v>6</v>
      </c>
      <c r="D291" s="3" t="s">
        <v>16</v>
      </c>
      <c r="E291" s="13"/>
      <c r="F291" s="3"/>
      <c r="G291" s="32">
        <f>G292</f>
        <v>4243.8999999999996</v>
      </c>
    </row>
    <row r="292" spans="1:7" x14ac:dyDescent="0.2">
      <c r="A292" s="9" t="s">
        <v>115</v>
      </c>
      <c r="B292" s="3" t="s">
        <v>281</v>
      </c>
      <c r="C292" s="3" t="s">
        <v>6</v>
      </c>
      <c r="D292" s="3" t="s">
        <v>16</v>
      </c>
      <c r="E292" s="3" t="s">
        <v>122</v>
      </c>
      <c r="F292" s="3"/>
      <c r="G292" s="32">
        <f>G293</f>
        <v>4243.8999999999996</v>
      </c>
    </row>
    <row r="293" spans="1:7" x14ac:dyDescent="0.2">
      <c r="A293" s="44" t="s">
        <v>45</v>
      </c>
      <c r="B293" s="3" t="s">
        <v>281</v>
      </c>
      <c r="C293" s="19" t="s">
        <v>6</v>
      </c>
      <c r="D293" s="19" t="s">
        <v>16</v>
      </c>
      <c r="E293" s="19" t="s">
        <v>342</v>
      </c>
      <c r="F293" s="19"/>
      <c r="G293" s="28">
        <f>G294</f>
        <v>4243.8999999999996</v>
      </c>
    </row>
    <row r="294" spans="1:7" ht="60" x14ac:dyDescent="0.2">
      <c r="A294" s="44" t="s">
        <v>108</v>
      </c>
      <c r="B294" s="3" t="s">
        <v>281</v>
      </c>
      <c r="C294" s="19" t="s">
        <v>6</v>
      </c>
      <c r="D294" s="19" t="s">
        <v>16</v>
      </c>
      <c r="E294" s="19" t="s">
        <v>342</v>
      </c>
      <c r="F294" s="19" t="s">
        <v>103</v>
      </c>
      <c r="G294" s="28">
        <f>2323.2+269.2+927.9+723.6</f>
        <v>4243.8999999999996</v>
      </c>
    </row>
    <row r="295" spans="1:7" ht="45" x14ac:dyDescent="0.2">
      <c r="A295" s="1" t="s">
        <v>25</v>
      </c>
      <c r="B295" s="3" t="s">
        <v>281</v>
      </c>
      <c r="C295" s="3" t="s">
        <v>6</v>
      </c>
      <c r="D295" s="3" t="s">
        <v>15</v>
      </c>
      <c r="E295" s="13"/>
      <c r="F295" s="3"/>
      <c r="G295" s="32">
        <f>G296</f>
        <v>38784.699999999997</v>
      </c>
    </row>
    <row r="296" spans="1:7" x14ac:dyDescent="0.2">
      <c r="A296" s="54" t="s">
        <v>115</v>
      </c>
      <c r="B296" s="3" t="s">
        <v>281</v>
      </c>
      <c r="C296" s="55" t="s">
        <v>6</v>
      </c>
      <c r="D296" s="55" t="s">
        <v>15</v>
      </c>
      <c r="E296" s="55" t="s">
        <v>122</v>
      </c>
      <c r="F296" s="3"/>
      <c r="G296" s="28">
        <f>G297</f>
        <v>38784.699999999997</v>
      </c>
    </row>
    <row r="297" spans="1:7" x14ac:dyDescent="0.2">
      <c r="A297" s="20" t="s">
        <v>8</v>
      </c>
      <c r="B297" s="3" t="s">
        <v>281</v>
      </c>
      <c r="C297" s="19" t="s">
        <v>6</v>
      </c>
      <c r="D297" s="55" t="s">
        <v>15</v>
      </c>
      <c r="E297" s="55" t="s">
        <v>123</v>
      </c>
      <c r="F297" s="19"/>
      <c r="G297" s="28">
        <f>G298+G299+G300</f>
        <v>38784.699999999997</v>
      </c>
    </row>
    <row r="298" spans="1:7" ht="60" x14ac:dyDescent="0.2">
      <c r="A298" s="44" t="s">
        <v>108</v>
      </c>
      <c r="B298" s="3" t="s">
        <v>281</v>
      </c>
      <c r="C298" s="19" t="s">
        <v>6</v>
      </c>
      <c r="D298" s="55" t="s">
        <v>15</v>
      </c>
      <c r="E298" s="55" t="s">
        <v>123</v>
      </c>
      <c r="F298" s="19" t="s">
        <v>103</v>
      </c>
      <c r="G298" s="28">
        <f>27676.6+2468+4187.5+2736.3</f>
        <v>37068.400000000001</v>
      </c>
    </row>
    <row r="299" spans="1:7" ht="30" x14ac:dyDescent="0.2">
      <c r="A299" s="44" t="s">
        <v>102</v>
      </c>
      <c r="B299" s="3" t="s">
        <v>281</v>
      </c>
      <c r="C299" s="19" t="s">
        <v>6</v>
      </c>
      <c r="D299" s="55" t="s">
        <v>15</v>
      </c>
      <c r="E299" s="55" t="s">
        <v>123</v>
      </c>
      <c r="F299" s="19" t="s">
        <v>101</v>
      </c>
      <c r="G299" s="28">
        <f>1699.7+14.4</f>
        <v>1714.1000000000001</v>
      </c>
    </row>
    <row r="300" spans="1:7" x14ac:dyDescent="0.2">
      <c r="A300" s="44" t="s">
        <v>109</v>
      </c>
      <c r="B300" s="3" t="s">
        <v>281</v>
      </c>
      <c r="C300" s="19" t="s">
        <v>6</v>
      </c>
      <c r="D300" s="55" t="s">
        <v>15</v>
      </c>
      <c r="E300" s="55" t="s">
        <v>123</v>
      </c>
      <c r="F300" s="19" t="s">
        <v>104</v>
      </c>
      <c r="G300" s="28">
        <v>2.2000000000000002</v>
      </c>
    </row>
    <row r="301" spans="1:7" x14ac:dyDescent="0.2">
      <c r="A301" s="1" t="s">
        <v>42</v>
      </c>
      <c r="B301" s="3" t="s">
        <v>281</v>
      </c>
      <c r="C301" s="3" t="s">
        <v>6</v>
      </c>
      <c r="D301" s="3" t="s">
        <v>50</v>
      </c>
      <c r="E301" s="3"/>
      <c r="F301" s="3"/>
      <c r="G301" s="8">
        <f>G302</f>
        <v>8000.2</v>
      </c>
    </row>
    <row r="302" spans="1:7" x14ac:dyDescent="0.2">
      <c r="A302" s="20" t="s">
        <v>115</v>
      </c>
      <c r="B302" s="3" t="s">
        <v>281</v>
      </c>
      <c r="C302" s="3" t="s">
        <v>6</v>
      </c>
      <c r="D302" s="3" t="s">
        <v>50</v>
      </c>
      <c r="E302" s="55" t="s">
        <v>122</v>
      </c>
      <c r="F302" s="19"/>
      <c r="G302" s="47">
        <f>G303+G305</f>
        <v>8000.2</v>
      </c>
    </row>
    <row r="303" spans="1:7" x14ac:dyDescent="0.2">
      <c r="A303" s="44" t="s">
        <v>94</v>
      </c>
      <c r="B303" s="3" t="s">
        <v>281</v>
      </c>
      <c r="C303" s="3" t="s">
        <v>6</v>
      </c>
      <c r="D303" s="3" t="s">
        <v>50</v>
      </c>
      <c r="E303" s="55" t="s">
        <v>146</v>
      </c>
      <c r="F303" s="19"/>
      <c r="G303" s="47">
        <f>G304</f>
        <v>0.2</v>
      </c>
    </row>
    <row r="304" spans="1:7" x14ac:dyDescent="0.2">
      <c r="A304" s="44" t="s">
        <v>109</v>
      </c>
      <c r="B304" s="3" t="s">
        <v>281</v>
      </c>
      <c r="C304" s="3" t="s">
        <v>6</v>
      </c>
      <c r="D304" s="3" t="s">
        <v>50</v>
      </c>
      <c r="E304" s="55" t="s">
        <v>146</v>
      </c>
      <c r="F304" s="19" t="s">
        <v>104</v>
      </c>
      <c r="G304" s="47">
        <v>0.2</v>
      </c>
    </row>
    <row r="305" spans="1:7" ht="30" x14ac:dyDescent="0.2">
      <c r="A305" s="45" t="s">
        <v>100</v>
      </c>
      <c r="B305" s="3" t="s">
        <v>281</v>
      </c>
      <c r="C305" s="3" t="s">
        <v>6</v>
      </c>
      <c r="D305" s="3" t="s">
        <v>50</v>
      </c>
      <c r="E305" s="19" t="s">
        <v>126</v>
      </c>
      <c r="F305" s="19"/>
      <c r="G305" s="47">
        <f>G306</f>
        <v>8000</v>
      </c>
    </row>
    <row r="306" spans="1:7" x14ac:dyDescent="0.2">
      <c r="A306" s="45" t="s">
        <v>526</v>
      </c>
      <c r="B306" s="3" t="s">
        <v>281</v>
      </c>
      <c r="C306" s="3" t="s">
        <v>6</v>
      </c>
      <c r="D306" s="3" t="s">
        <v>50</v>
      </c>
      <c r="E306" s="19" t="s">
        <v>527</v>
      </c>
      <c r="F306" s="19"/>
      <c r="G306" s="47">
        <f>G307</f>
        <v>8000</v>
      </c>
    </row>
    <row r="307" spans="1:7" x14ac:dyDescent="0.2">
      <c r="A307" s="44" t="s">
        <v>109</v>
      </c>
      <c r="B307" s="3" t="s">
        <v>281</v>
      </c>
      <c r="C307" s="3" t="s">
        <v>6</v>
      </c>
      <c r="D307" s="3" t="s">
        <v>50</v>
      </c>
      <c r="E307" s="19" t="s">
        <v>527</v>
      </c>
      <c r="F307" s="19" t="s">
        <v>104</v>
      </c>
      <c r="G307" s="47">
        <v>8000</v>
      </c>
    </row>
    <row r="308" spans="1:7" x14ac:dyDescent="0.2">
      <c r="A308" s="18"/>
      <c r="B308" s="3"/>
      <c r="C308" s="3"/>
      <c r="D308" s="3"/>
      <c r="E308" s="3"/>
      <c r="F308" s="3"/>
      <c r="G308" s="15"/>
    </row>
    <row r="309" spans="1:7" s="27" customFormat="1" ht="28.5" x14ac:dyDescent="0.2">
      <c r="A309" s="25" t="s">
        <v>54</v>
      </c>
      <c r="B309" s="22" t="s">
        <v>282</v>
      </c>
      <c r="C309" s="22"/>
      <c r="D309" s="22"/>
      <c r="E309" s="22"/>
      <c r="F309" s="22"/>
      <c r="G309" s="80">
        <f>G310</f>
        <v>8673</v>
      </c>
    </row>
    <row r="310" spans="1:7" x14ac:dyDescent="0.2">
      <c r="A310" s="20" t="s">
        <v>5</v>
      </c>
      <c r="B310" s="3" t="s">
        <v>282</v>
      </c>
      <c r="C310" s="3" t="s">
        <v>6</v>
      </c>
      <c r="D310" s="3"/>
      <c r="E310" s="3"/>
      <c r="F310" s="3"/>
      <c r="G310" s="15">
        <f>G311+G317</f>
        <v>8673</v>
      </c>
    </row>
    <row r="311" spans="1:7" x14ac:dyDescent="0.2">
      <c r="A311" s="1" t="s">
        <v>46</v>
      </c>
      <c r="B311" s="3" t="s">
        <v>282</v>
      </c>
      <c r="C311" s="3" t="s">
        <v>6</v>
      </c>
      <c r="D311" s="3" t="s">
        <v>30</v>
      </c>
      <c r="E311" s="3"/>
      <c r="F311" s="3"/>
      <c r="G311" s="31">
        <f>G312</f>
        <v>8663</v>
      </c>
    </row>
    <row r="312" spans="1:7" x14ac:dyDescent="0.2">
      <c r="A312" s="54" t="s">
        <v>115</v>
      </c>
      <c r="B312" s="3" t="s">
        <v>282</v>
      </c>
      <c r="C312" s="55" t="s">
        <v>6</v>
      </c>
      <c r="D312" s="55" t="s">
        <v>30</v>
      </c>
      <c r="E312" s="55" t="s">
        <v>122</v>
      </c>
      <c r="F312" s="3"/>
      <c r="G312" s="31">
        <f>G313</f>
        <v>8663</v>
      </c>
    </row>
    <row r="313" spans="1:7" x14ac:dyDescent="0.2">
      <c r="A313" s="20" t="s">
        <v>8</v>
      </c>
      <c r="B313" s="3" t="s">
        <v>282</v>
      </c>
      <c r="C313" s="19" t="s">
        <v>6</v>
      </c>
      <c r="D313" s="55" t="s">
        <v>30</v>
      </c>
      <c r="E313" s="55" t="s">
        <v>123</v>
      </c>
      <c r="F313" s="19"/>
      <c r="G313" s="47">
        <f>SUM(G314:G316)</f>
        <v>8663</v>
      </c>
    </row>
    <row r="314" spans="1:7" ht="60" x14ac:dyDescent="0.2">
      <c r="A314" s="44" t="s">
        <v>108</v>
      </c>
      <c r="B314" s="3" t="s">
        <v>282</v>
      </c>
      <c r="C314" s="19" t="s">
        <v>6</v>
      </c>
      <c r="D314" s="55" t="s">
        <v>30</v>
      </c>
      <c r="E314" s="55" t="s">
        <v>123</v>
      </c>
      <c r="F314" s="19" t="s">
        <v>103</v>
      </c>
      <c r="G314" s="47">
        <f>4106.8+435.4+676+409.6</f>
        <v>5627.8</v>
      </c>
    </row>
    <row r="315" spans="1:7" ht="30" x14ac:dyDescent="0.2">
      <c r="A315" s="44" t="s">
        <v>102</v>
      </c>
      <c r="B315" s="3" t="s">
        <v>282</v>
      </c>
      <c r="C315" s="19" t="s">
        <v>6</v>
      </c>
      <c r="D315" s="55" t="s">
        <v>30</v>
      </c>
      <c r="E315" s="55" t="s">
        <v>123</v>
      </c>
      <c r="F315" s="19" t="s">
        <v>101</v>
      </c>
      <c r="G315" s="47">
        <f>2107.5+927</f>
        <v>3034.5</v>
      </c>
    </row>
    <row r="316" spans="1:7" x14ac:dyDescent="0.2">
      <c r="A316" s="44" t="s">
        <v>109</v>
      </c>
      <c r="B316" s="3" t="s">
        <v>282</v>
      </c>
      <c r="C316" s="19" t="s">
        <v>6</v>
      </c>
      <c r="D316" s="55" t="s">
        <v>30</v>
      </c>
      <c r="E316" s="55" t="s">
        <v>123</v>
      </c>
      <c r="F316" s="19" t="s">
        <v>104</v>
      </c>
      <c r="G316" s="47">
        <v>0.7</v>
      </c>
    </row>
    <row r="317" spans="1:7" x14ac:dyDescent="0.2">
      <c r="A317" s="1" t="s">
        <v>42</v>
      </c>
      <c r="B317" s="3" t="s">
        <v>282</v>
      </c>
      <c r="C317" s="3" t="s">
        <v>6</v>
      </c>
      <c r="D317" s="3" t="s">
        <v>50</v>
      </c>
      <c r="E317" s="3"/>
      <c r="F317" s="3"/>
      <c r="G317" s="8">
        <f>G318</f>
        <v>10</v>
      </c>
    </row>
    <row r="318" spans="1:7" x14ac:dyDescent="0.2">
      <c r="A318" s="20" t="s">
        <v>115</v>
      </c>
      <c r="B318" s="3" t="s">
        <v>282</v>
      </c>
      <c r="C318" s="3" t="s">
        <v>6</v>
      </c>
      <c r="D318" s="3" t="s">
        <v>50</v>
      </c>
      <c r="E318" s="55" t="s">
        <v>122</v>
      </c>
      <c r="F318" s="19"/>
      <c r="G318" s="47">
        <f>G319</f>
        <v>10</v>
      </c>
    </row>
    <row r="319" spans="1:7" x14ac:dyDescent="0.2">
      <c r="A319" s="44" t="s">
        <v>94</v>
      </c>
      <c r="B319" s="3" t="s">
        <v>282</v>
      </c>
      <c r="C319" s="3" t="s">
        <v>6</v>
      </c>
      <c r="D319" s="3" t="s">
        <v>50</v>
      </c>
      <c r="E319" s="55" t="s">
        <v>146</v>
      </c>
      <c r="F319" s="19"/>
      <c r="G319" s="47">
        <f>G320</f>
        <v>10</v>
      </c>
    </row>
    <row r="320" spans="1:7" x14ac:dyDescent="0.2">
      <c r="A320" s="44" t="s">
        <v>109</v>
      </c>
      <c r="B320" s="3" t="s">
        <v>282</v>
      </c>
      <c r="C320" s="3" t="s">
        <v>6</v>
      </c>
      <c r="D320" s="3" t="s">
        <v>50</v>
      </c>
      <c r="E320" s="55" t="s">
        <v>146</v>
      </c>
      <c r="F320" s="19" t="s">
        <v>104</v>
      </c>
      <c r="G320" s="47">
        <v>10</v>
      </c>
    </row>
    <row r="321" spans="1:7" x14ac:dyDescent="0.2">
      <c r="A321" s="45"/>
      <c r="B321" s="19"/>
      <c r="C321" s="19"/>
      <c r="D321" s="19"/>
      <c r="E321" s="19"/>
      <c r="F321" s="19"/>
      <c r="G321" s="47"/>
    </row>
    <row r="322" spans="1:7" s="27" customFormat="1" ht="42.75" x14ac:dyDescent="0.2">
      <c r="A322" s="25" t="s">
        <v>71</v>
      </c>
      <c r="B322" s="22" t="s">
        <v>283</v>
      </c>
      <c r="C322" s="22"/>
      <c r="D322" s="22"/>
      <c r="E322" s="22"/>
      <c r="F322" s="22"/>
      <c r="G322" s="80">
        <f>G323</f>
        <v>17005.699999999997</v>
      </c>
    </row>
    <row r="323" spans="1:7" s="24" customFormat="1" x14ac:dyDescent="0.2">
      <c r="A323" s="20" t="s">
        <v>5</v>
      </c>
      <c r="B323" s="3" t="s">
        <v>283</v>
      </c>
      <c r="C323" s="3" t="s">
        <v>6</v>
      </c>
      <c r="D323" s="3"/>
      <c r="E323" s="3"/>
      <c r="F323" s="3"/>
      <c r="G323" s="30">
        <f>G324</f>
        <v>17005.699999999997</v>
      </c>
    </row>
    <row r="324" spans="1:7" s="24" customFormat="1" ht="30" x14ac:dyDescent="0.2">
      <c r="A324" s="1" t="s">
        <v>154</v>
      </c>
      <c r="B324" s="3" t="s">
        <v>283</v>
      </c>
      <c r="C324" s="3" t="s">
        <v>6</v>
      </c>
      <c r="D324" s="3" t="s">
        <v>10</v>
      </c>
      <c r="E324" s="55"/>
      <c r="F324" s="19"/>
      <c r="G324" s="30">
        <f>G325</f>
        <v>17005.699999999997</v>
      </c>
    </row>
    <row r="325" spans="1:7" s="24" customFormat="1" x14ac:dyDescent="0.2">
      <c r="A325" s="54" t="s">
        <v>115</v>
      </c>
      <c r="B325" s="3" t="s">
        <v>283</v>
      </c>
      <c r="C325" s="55" t="s">
        <v>6</v>
      </c>
      <c r="D325" s="55" t="s">
        <v>10</v>
      </c>
      <c r="E325" s="55" t="s">
        <v>122</v>
      </c>
      <c r="F325" s="3"/>
      <c r="G325" s="31">
        <f>G326</f>
        <v>17005.699999999997</v>
      </c>
    </row>
    <row r="326" spans="1:7" s="24" customFormat="1" x14ac:dyDescent="0.2">
      <c r="A326" s="20" t="s">
        <v>8</v>
      </c>
      <c r="B326" s="3" t="s">
        <v>283</v>
      </c>
      <c r="C326" s="19" t="s">
        <v>6</v>
      </c>
      <c r="D326" s="19" t="s">
        <v>10</v>
      </c>
      <c r="E326" s="55" t="s">
        <v>123</v>
      </c>
      <c r="F326" s="19"/>
      <c r="G326" s="31">
        <f>G327+G328+G329</f>
        <v>17005.699999999997</v>
      </c>
    </row>
    <row r="327" spans="1:7" s="24" customFormat="1" ht="60" x14ac:dyDescent="0.2">
      <c r="A327" s="44" t="s">
        <v>108</v>
      </c>
      <c r="B327" s="3" t="s">
        <v>283</v>
      </c>
      <c r="C327" s="19" t="s">
        <v>6</v>
      </c>
      <c r="D327" s="19" t="s">
        <v>10</v>
      </c>
      <c r="E327" s="55" t="s">
        <v>123</v>
      </c>
      <c r="F327" s="19" t="s">
        <v>103</v>
      </c>
      <c r="G327" s="31">
        <f>11198.5+1143.8+1676.8+2228.4</f>
        <v>16247.499999999998</v>
      </c>
    </row>
    <row r="328" spans="1:7" s="24" customFormat="1" ht="30" x14ac:dyDescent="0.2">
      <c r="A328" s="44" t="s">
        <v>102</v>
      </c>
      <c r="B328" s="3" t="s">
        <v>283</v>
      </c>
      <c r="C328" s="19" t="s">
        <v>6</v>
      </c>
      <c r="D328" s="19" t="s">
        <v>10</v>
      </c>
      <c r="E328" s="55" t="s">
        <v>123</v>
      </c>
      <c r="F328" s="19" t="s">
        <v>101</v>
      </c>
      <c r="G328" s="31">
        <v>653.20000000000005</v>
      </c>
    </row>
    <row r="329" spans="1:7" s="24" customFormat="1" x14ac:dyDescent="0.2">
      <c r="A329" s="44" t="s">
        <v>109</v>
      </c>
      <c r="B329" s="3" t="s">
        <v>283</v>
      </c>
      <c r="C329" s="19" t="s">
        <v>6</v>
      </c>
      <c r="D329" s="19" t="s">
        <v>10</v>
      </c>
      <c r="E329" s="55" t="s">
        <v>123</v>
      </c>
      <c r="F329" s="19" t="s">
        <v>104</v>
      </c>
      <c r="G329" s="47">
        <f>25+80</f>
        <v>105</v>
      </c>
    </row>
    <row r="330" spans="1:7" x14ac:dyDescent="0.2">
      <c r="A330" s="43"/>
      <c r="B330" s="36"/>
      <c r="C330" s="36"/>
      <c r="D330" s="29"/>
      <c r="E330" s="29"/>
      <c r="F330" s="29"/>
      <c r="G330" s="29"/>
    </row>
    <row r="331" spans="1:7" ht="42.75" x14ac:dyDescent="0.2">
      <c r="A331" s="6" t="s">
        <v>72</v>
      </c>
      <c r="B331" s="7" t="s">
        <v>284</v>
      </c>
      <c r="C331" s="7"/>
      <c r="D331" s="7"/>
      <c r="E331" s="7"/>
      <c r="F331" s="7"/>
      <c r="G331" s="79">
        <f>G332+G356+G376</f>
        <v>1349114.2000000002</v>
      </c>
    </row>
    <row r="332" spans="1:7" x14ac:dyDescent="0.2">
      <c r="A332" s="1" t="s">
        <v>5</v>
      </c>
      <c r="B332" s="3" t="s">
        <v>284</v>
      </c>
      <c r="C332" s="3" t="s">
        <v>6</v>
      </c>
      <c r="D332" s="3"/>
      <c r="E332" s="3"/>
      <c r="F332" s="3"/>
      <c r="G332" s="8">
        <f>G333+G339</f>
        <v>136584.79999999999</v>
      </c>
    </row>
    <row r="333" spans="1:7" ht="45" x14ac:dyDescent="0.2">
      <c r="A333" s="9" t="s">
        <v>26</v>
      </c>
      <c r="B333" s="3" t="s">
        <v>284</v>
      </c>
      <c r="C333" s="10" t="s">
        <v>6</v>
      </c>
      <c r="D333" s="10" t="s">
        <v>7</v>
      </c>
      <c r="E333" s="11"/>
      <c r="F333" s="10"/>
      <c r="G333" s="31">
        <f>G334</f>
        <v>18172.7</v>
      </c>
    </row>
    <row r="334" spans="1:7" x14ac:dyDescent="0.2">
      <c r="A334" s="54" t="s">
        <v>115</v>
      </c>
      <c r="B334" s="3" t="s">
        <v>284</v>
      </c>
      <c r="C334" s="55" t="s">
        <v>6</v>
      </c>
      <c r="D334" s="55" t="s">
        <v>7</v>
      </c>
      <c r="E334" s="55" t="s">
        <v>122</v>
      </c>
      <c r="F334" s="3"/>
      <c r="G334" s="47">
        <f>G335</f>
        <v>18172.7</v>
      </c>
    </row>
    <row r="335" spans="1:7" x14ac:dyDescent="0.2">
      <c r="A335" s="20" t="s">
        <v>8</v>
      </c>
      <c r="B335" s="3" t="s">
        <v>284</v>
      </c>
      <c r="C335" s="19" t="s">
        <v>6</v>
      </c>
      <c r="D335" s="55" t="s">
        <v>7</v>
      </c>
      <c r="E335" s="55" t="s">
        <v>123</v>
      </c>
      <c r="F335" s="19"/>
      <c r="G335" s="47">
        <f>SUM(G336:G338)</f>
        <v>18172.7</v>
      </c>
    </row>
    <row r="336" spans="1:7" ht="60" x14ac:dyDescent="0.2">
      <c r="A336" s="44" t="s">
        <v>108</v>
      </c>
      <c r="B336" s="3" t="s">
        <v>284</v>
      </c>
      <c r="C336" s="19" t="s">
        <v>6</v>
      </c>
      <c r="D336" s="55" t="s">
        <v>7</v>
      </c>
      <c r="E336" s="55" t="s">
        <v>123</v>
      </c>
      <c r="F336" s="19" t="s">
        <v>103</v>
      </c>
      <c r="G336" s="47">
        <f>13122.6+1329.8+2082.8+130</f>
        <v>16665.2</v>
      </c>
    </row>
    <row r="337" spans="1:7" ht="30" x14ac:dyDescent="0.2">
      <c r="A337" s="44" t="s">
        <v>102</v>
      </c>
      <c r="B337" s="3" t="s">
        <v>284</v>
      </c>
      <c r="C337" s="19" t="s">
        <v>6</v>
      </c>
      <c r="D337" s="55" t="s">
        <v>7</v>
      </c>
      <c r="E337" s="55" t="s">
        <v>123</v>
      </c>
      <c r="F337" s="19" t="s">
        <v>101</v>
      </c>
      <c r="G337" s="47">
        <f>1500.2+6</f>
        <v>1506.2</v>
      </c>
    </row>
    <row r="338" spans="1:7" x14ac:dyDescent="0.2">
      <c r="A338" s="44" t="s">
        <v>109</v>
      </c>
      <c r="B338" s="3" t="s">
        <v>284</v>
      </c>
      <c r="C338" s="19" t="s">
        <v>6</v>
      </c>
      <c r="D338" s="55" t="s">
        <v>7</v>
      </c>
      <c r="E338" s="55" t="s">
        <v>123</v>
      </c>
      <c r="F338" s="19" t="s">
        <v>104</v>
      </c>
      <c r="G338" s="47">
        <v>1.3</v>
      </c>
    </row>
    <row r="339" spans="1:7" x14ac:dyDescent="0.2">
      <c r="A339" s="1" t="s">
        <v>42</v>
      </c>
      <c r="B339" s="3" t="s">
        <v>284</v>
      </c>
      <c r="C339" s="3" t="s">
        <v>6</v>
      </c>
      <c r="D339" s="3" t="s">
        <v>50</v>
      </c>
      <c r="E339" s="3"/>
      <c r="F339" s="3"/>
      <c r="G339" s="8">
        <f>G340</f>
        <v>118412.09999999999</v>
      </c>
    </row>
    <row r="340" spans="1:7" x14ac:dyDescent="0.2">
      <c r="A340" s="20" t="s">
        <v>115</v>
      </c>
      <c r="B340" s="3" t="s">
        <v>284</v>
      </c>
      <c r="C340" s="3" t="s">
        <v>6</v>
      </c>
      <c r="D340" s="3" t="s">
        <v>50</v>
      </c>
      <c r="E340" s="55" t="s">
        <v>122</v>
      </c>
      <c r="F340" s="19"/>
      <c r="G340" s="47">
        <f>G341+G343</f>
        <v>118412.09999999999</v>
      </c>
    </row>
    <row r="341" spans="1:7" x14ac:dyDescent="0.2">
      <c r="A341" s="44" t="s">
        <v>94</v>
      </c>
      <c r="B341" s="3" t="s">
        <v>284</v>
      </c>
      <c r="C341" s="3" t="s">
        <v>6</v>
      </c>
      <c r="D341" s="3" t="s">
        <v>50</v>
      </c>
      <c r="E341" s="55" t="s">
        <v>146</v>
      </c>
      <c r="F341" s="19"/>
      <c r="G341" s="47">
        <f>G342</f>
        <v>164.2</v>
      </c>
    </row>
    <row r="342" spans="1:7" x14ac:dyDescent="0.2">
      <c r="A342" s="44" t="s">
        <v>109</v>
      </c>
      <c r="B342" s="3" t="s">
        <v>284</v>
      </c>
      <c r="C342" s="3" t="s">
        <v>6</v>
      </c>
      <c r="D342" s="3" t="s">
        <v>50</v>
      </c>
      <c r="E342" s="55" t="s">
        <v>146</v>
      </c>
      <c r="F342" s="19" t="s">
        <v>104</v>
      </c>
      <c r="G342" s="47">
        <v>164.2</v>
      </c>
    </row>
    <row r="343" spans="1:7" ht="30" x14ac:dyDescent="0.2">
      <c r="A343" s="45" t="s">
        <v>100</v>
      </c>
      <c r="B343" s="3" t="s">
        <v>284</v>
      </c>
      <c r="C343" s="3" t="s">
        <v>6</v>
      </c>
      <c r="D343" s="3" t="s">
        <v>50</v>
      </c>
      <c r="E343" s="3" t="s">
        <v>126</v>
      </c>
      <c r="F343" s="19"/>
      <c r="G343" s="47">
        <f>G344+G348+G352</f>
        <v>118247.9</v>
      </c>
    </row>
    <row r="344" spans="1:7" x14ac:dyDescent="0.2">
      <c r="A344" s="44" t="s">
        <v>429</v>
      </c>
      <c r="B344" s="3" t="s">
        <v>284</v>
      </c>
      <c r="C344" s="3" t="s">
        <v>6</v>
      </c>
      <c r="D344" s="3" t="s">
        <v>50</v>
      </c>
      <c r="E344" s="19" t="s">
        <v>430</v>
      </c>
      <c r="F344" s="19"/>
      <c r="G344" s="31">
        <f>SUM(G345:G347)</f>
        <v>34410.9</v>
      </c>
    </row>
    <row r="345" spans="1:7" ht="60" x14ac:dyDescent="0.2">
      <c r="A345" s="44" t="s">
        <v>108</v>
      </c>
      <c r="B345" s="3" t="s">
        <v>284</v>
      </c>
      <c r="C345" s="3" t="s">
        <v>6</v>
      </c>
      <c r="D345" s="3" t="s">
        <v>50</v>
      </c>
      <c r="E345" s="19" t="s">
        <v>430</v>
      </c>
      <c r="F345" s="19" t="s">
        <v>103</v>
      </c>
      <c r="G345" s="32">
        <f>20677.2+2303.2+3425.4+1071.6</f>
        <v>27477.4</v>
      </c>
    </row>
    <row r="346" spans="1:7" ht="30" x14ac:dyDescent="0.2">
      <c r="A346" s="44" t="s">
        <v>102</v>
      </c>
      <c r="B346" s="3" t="s">
        <v>284</v>
      </c>
      <c r="C346" s="3" t="s">
        <v>6</v>
      </c>
      <c r="D346" s="3" t="s">
        <v>50</v>
      </c>
      <c r="E346" s="19" t="s">
        <v>430</v>
      </c>
      <c r="F346" s="19" t="s">
        <v>101</v>
      </c>
      <c r="G346" s="32">
        <v>6580.3</v>
      </c>
    </row>
    <row r="347" spans="1:7" x14ac:dyDescent="0.2">
      <c r="A347" s="44" t="s">
        <v>109</v>
      </c>
      <c r="B347" s="3" t="s">
        <v>284</v>
      </c>
      <c r="C347" s="3" t="s">
        <v>6</v>
      </c>
      <c r="D347" s="3" t="s">
        <v>50</v>
      </c>
      <c r="E347" s="19" t="s">
        <v>430</v>
      </c>
      <c r="F347" s="19" t="s">
        <v>104</v>
      </c>
      <c r="G347" s="31">
        <v>353.2</v>
      </c>
    </row>
    <row r="348" spans="1:7" ht="30" x14ac:dyDescent="0.2">
      <c r="A348" s="44" t="s">
        <v>431</v>
      </c>
      <c r="B348" s="3" t="s">
        <v>284</v>
      </c>
      <c r="C348" s="3" t="s">
        <v>6</v>
      </c>
      <c r="D348" s="3" t="s">
        <v>50</v>
      </c>
      <c r="E348" s="19" t="s">
        <v>432</v>
      </c>
      <c r="F348" s="19"/>
      <c r="G348" s="31">
        <f>SUM(G349:G351)</f>
        <v>29232.599999999995</v>
      </c>
    </row>
    <row r="349" spans="1:7" ht="60" x14ac:dyDescent="0.2">
      <c r="A349" s="44" t="s">
        <v>108</v>
      </c>
      <c r="B349" s="3" t="s">
        <v>284</v>
      </c>
      <c r="C349" s="3" t="s">
        <v>6</v>
      </c>
      <c r="D349" s="3" t="s">
        <v>50</v>
      </c>
      <c r="E349" s="19" t="s">
        <v>432</v>
      </c>
      <c r="F349" s="19" t="s">
        <v>103</v>
      </c>
      <c r="G349" s="32">
        <f>13708.7+556+1706.4+2554.2+1081.8</f>
        <v>19607.099999999999</v>
      </c>
    </row>
    <row r="350" spans="1:7" ht="30" x14ac:dyDescent="0.2">
      <c r="A350" s="44" t="s">
        <v>102</v>
      </c>
      <c r="B350" s="3" t="s">
        <v>284</v>
      </c>
      <c r="C350" s="3" t="s">
        <v>6</v>
      </c>
      <c r="D350" s="3" t="s">
        <v>50</v>
      </c>
      <c r="E350" s="19" t="s">
        <v>432</v>
      </c>
      <c r="F350" s="19" t="s">
        <v>101</v>
      </c>
      <c r="G350" s="32">
        <f>7663.2+1387.2+6.8</f>
        <v>9057.1999999999989</v>
      </c>
    </row>
    <row r="351" spans="1:7" x14ac:dyDescent="0.2">
      <c r="A351" s="44" t="s">
        <v>109</v>
      </c>
      <c r="B351" s="3" t="s">
        <v>284</v>
      </c>
      <c r="C351" s="3" t="s">
        <v>6</v>
      </c>
      <c r="D351" s="3" t="s">
        <v>50</v>
      </c>
      <c r="E351" s="19" t="s">
        <v>432</v>
      </c>
      <c r="F351" s="19" t="s">
        <v>104</v>
      </c>
      <c r="G351" s="31">
        <v>568.29999999999995</v>
      </c>
    </row>
    <row r="352" spans="1:7" ht="30" x14ac:dyDescent="0.2">
      <c r="A352" s="44" t="s">
        <v>644</v>
      </c>
      <c r="B352" s="3" t="s">
        <v>284</v>
      </c>
      <c r="C352" s="3" t="s">
        <v>6</v>
      </c>
      <c r="D352" s="3" t="s">
        <v>50</v>
      </c>
      <c r="E352" s="19" t="s">
        <v>433</v>
      </c>
      <c r="F352" s="19"/>
      <c r="G352" s="31">
        <f>SUM(G353:G355)</f>
        <v>54604.4</v>
      </c>
    </row>
    <row r="353" spans="1:7" ht="60" x14ac:dyDescent="0.2">
      <c r="A353" s="44" t="s">
        <v>108</v>
      </c>
      <c r="B353" s="3" t="s">
        <v>284</v>
      </c>
      <c r="C353" s="3" t="s">
        <v>6</v>
      </c>
      <c r="D353" s="3" t="s">
        <v>50</v>
      </c>
      <c r="E353" s="19" t="s">
        <v>433</v>
      </c>
      <c r="F353" s="19" t="s">
        <v>103</v>
      </c>
      <c r="G353" s="31">
        <f>19825.6+2245.2+3670.6+777.9</f>
        <v>26519.3</v>
      </c>
    </row>
    <row r="354" spans="1:7" ht="30" x14ac:dyDescent="0.2">
      <c r="A354" s="44" t="s">
        <v>102</v>
      </c>
      <c r="B354" s="3" t="s">
        <v>284</v>
      </c>
      <c r="C354" s="3" t="s">
        <v>6</v>
      </c>
      <c r="D354" s="3" t="s">
        <v>50</v>
      </c>
      <c r="E354" s="19" t="s">
        <v>433</v>
      </c>
      <c r="F354" s="19" t="s">
        <v>101</v>
      </c>
      <c r="G354" s="31">
        <f>17815.4+824.6+3600</f>
        <v>22240</v>
      </c>
    </row>
    <row r="355" spans="1:7" x14ac:dyDescent="0.2">
      <c r="A355" s="44" t="s">
        <v>109</v>
      </c>
      <c r="B355" s="3" t="s">
        <v>284</v>
      </c>
      <c r="C355" s="3" t="s">
        <v>6</v>
      </c>
      <c r="D355" s="3" t="s">
        <v>50</v>
      </c>
      <c r="E355" s="19" t="s">
        <v>433</v>
      </c>
      <c r="F355" s="19" t="s">
        <v>104</v>
      </c>
      <c r="G355" s="31">
        <v>5845.1</v>
      </c>
    </row>
    <row r="356" spans="1:7" x14ac:dyDescent="0.2">
      <c r="A356" s="1" t="s">
        <v>19</v>
      </c>
      <c r="B356" s="3" t="s">
        <v>284</v>
      </c>
      <c r="C356" s="3" t="s">
        <v>7</v>
      </c>
      <c r="D356" s="3"/>
      <c r="E356" s="3"/>
      <c r="F356" s="3"/>
      <c r="G356" s="32">
        <f>G357+G371</f>
        <v>536045.30000000005</v>
      </c>
    </row>
    <row r="357" spans="1:7" x14ac:dyDescent="0.2">
      <c r="A357" s="39" t="s">
        <v>20</v>
      </c>
      <c r="B357" s="3" t="s">
        <v>284</v>
      </c>
      <c r="C357" s="40" t="s">
        <v>7</v>
      </c>
      <c r="D357" s="40" t="s">
        <v>21</v>
      </c>
      <c r="E357" s="40"/>
      <c r="F357" s="40"/>
      <c r="G357" s="41">
        <f>G367+G358+G363</f>
        <v>516045.3</v>
      </c>
    </row>
    <row r="358" spans="1:7" ht="45" x14ac:dyDescent="0.2">
      <c r="A358" s="44" t="s">
        <v>733</v>
      </c>
      <c r="B358" s="3" t="s">
        <v>284</v>
      </c>
      <c r="C358" s="19" t="s">
        <v>7</v>
      </c>
      <c r="D358" s="19" t="s">
        <v>21</v>
      </c>
      <c r="E358" s="58" t="s">
        <v>739</v>
      </c>
      <c r="F358" s="19"/>
      <c r="G358" s="28">
        <f>G359</f>
        <v>43464.3</v>
      </c>
    </row>
    <row r="359" spans="1:7" ht="30" x14ac:dyDescent="0.2">
      <c r="A359" s="44" t="s">
        <v>734</v>
      </c>
      <c r="B359" s="3" t="s">
        <v>284</v>
      </c>
      <c r="C359" s="19" t="s">
        <v>7</v>
      </c>
      <c r="D359" s="19" t="s">
        <v>21</v>
      </c>
      <c r="E359" s="58" t="s">
        <v>740</v>
      </c>
      <c r="F359" s="19"/>
      <c r="G359" s="28">
        <f>G360</f>
        <v>43464.3</v>
      </c>
    </row>
    <row r="360" spans="1:7" ht="45" x14ac:dyDescent="0.2">
      <c r="A360" s="44" t="s">
        <v>735</v>
      </c>
      <c r="B360" s="3" t="s">
        <v>284</v>
      </c>
      <c r="C360" s="19" t="s">
        <v>7</v>
      </c>
      <c r="D360" s="19" t="s">
        <v>21</v>
      </c>
      <c r="E360" s="58" t="s">
        <v>741</v>
      </c>
      <c r="F360" s="19"/>
      <c r="G360" s="28">
        <f>SUM(G361:G362)</f>
        <v>43464.3</v>
      </c>
    </row>
    <row r="361" spans="1:7" ht="30" x14ac:dyDescent="0.2">
      <c r="A361" s="44" t="s">
        <v>102</v>
      </c>
      <c r="B361" s="3" t="s">
        <v>284</v>
      </c>
      <c r="C361" s="19" t="s">
        <v>7</v>
      </c>
      <c r="D361" s="19" t="s">
        <v>21</v>
      </c>
      <c r="E361" s="58" t="s">
        <v>799</v>
      </c>
      <c r="F361" s="19" t="s">
        <v>101</v>
      </c>
      <c r="G361" s="28">
        <f>4084+229.5</f>
        <v>4313.5</v>
      </c>
    </row>
    <row r="362" spans="1:7" x14ac:dyDescent="0.2">
      <c r="A362" s="44" t="s">
        <v>109</v>
      </c>
      <c r="B362" s="3" t="s">
        <v>284</v>
      </c>
      <c r="C362" s="19" t="s">
        <v>7</v>
      </c>
      <c r="D362" s="19" t="s">
        <v>21</v>
      </c>
      <c r="E362" s="58" t="s">
        <v>799</v>
      </c>
      <c r="F362" s="19" t="s">
        <v>104</v>
      </c>
      <c r="G362" s="28">
        <v>39150.800000000003</v>
      </c>
    </row>
    <row r="363" spans="1:7" ht="30" x14ac:dyDescent="0.2">
      <c r="A363" s="44" t="s">
        <v>736</v>
      </c>
      <c r="B363" s="3" t="s">
        <v>284</v>
      </c>
      <c r="C363" s="19" t="s">
        <v>7</v>
      </c>
      <c r="D363" s="19" t="s">
        <v>21</v>
      </c>
      <c r="E363" s="58" t="s">
        <v>742</v>
      </c>
      <c r="F363" s="19"/>
      <c r="G363" s="28">
        <f>G364</f>
        <v>292900</v>
      </c>
    </row>
    <row r="364" spans="1:7" ht="75" x14ac:dyDescent="0.2">
      <c r="A364" s="44" t="s">
        <v>737</v>
      </c>
      <c r="B364" s="3" t="s">
        <v>284</v>
      </c>
      <c r="C364" s="19" t="s">
        <v>7</v>
      </c>
      <c r="D364" s="19" t="s">
        <v>21</v>
      </c>
      <c r="E364" s="58" t="s">
        <v>743</v>
      </c>
      <c r="F364" s="19"/>
      <c r="G364" s="28">
        <f>G365</f>
        <v>292900</v>
      </c>
    </row>
    <row r="365" spans="1:7" ht="30" x14ac:dyDescent="0.2">
      <c r="A365" s="44" t="s">
        <v>738</v>
      </c>
      <c r="B365" s="3" t="s">
        <v>284</v>
      </c>
      <c r="C365" s="19" t="s">
        <v>7</v>
      </c>
      <c r="D365" s="19" t="s">
        <v>21</v>
      </c>
      <c r="E365" s="58" t="s">
        <v>744</v>
      </c>
      <c r="F365" s="19"/>
      <c r="G365" s="28">
        <f>G366</f>
        <v>292900</v>
      </c>
    </row>
    <row r="366" spans="1:7" x14ac:dyDescent="0.2">
      <c r="A366" s="44" t="s">
        <v>109</v>
      </c>
      <c r="B366" s="3" t="s">
        <v>284</v>
      </c>
      <c r="C366" s="19" t="s">
        <v>7</v>
      </c>
      <c r="D366" s="19" t="s">
        <v>21</v>
      </c>
      <c r="E366" s="58" t="s">
        <v>744</v>
      </c>
      <c r="F366" s="19" t="s">
        <v>104</v>
      </c>
      <c r="G366" s="28">
        <f>290000+2900</f>
        <v>292900</v>
      </c>
    </row>
    <row r="367" spans="1:7" x14ac:dyDescent="0.2">
      <c r="A367" s="9" t="s">
        <v>115</v>
      </c>
      <c r="B367" s="3" t="s">
        <v>284</v>
      </c>
      <c r="C367" s="19" t="s">
        <v>7</v>
      </c>
      <c r="D367" s="19" t="s">
        <v>21</v>
      </c>
      <c r="E367" s="19" t="s">
        <v>122</v>
      </c>
      <c r="F367" s="19"/>
      <c r="G367" s="28">
        <f>G368</f>
        <v>179681</v>
      </c>
    </row>
    <row r="368" spans="1:7" x14ac:dyDescent="0.2">
      <c r="A368" s="56" t="s">
        <v>159</v>
      </c>
      <c r="B368" s="3" t="s">
        <v>284</v>
      </c>
      <c r="C368" s="19" t="s">
        <v>7</v>
      </c>
      <c r="D368" s="19" t="s">
        <v>21</v>
      </c>
      <c r="E368" s="58" t="s">
        <v>476</v>
      </c>
      <c r="F368" s="19"/>
      <c r="G368" s="28">
        <f>G369+G370</f>
        <v>179681</v>
      </c>
    </row>
    <row r="369" spans="1:7" ht="30" x14ac:dyDescent="0.2">
      <c r="A369" s="44" t="s">
        <v>102</v>
      </c>
      <c r="B369" s="3" t="s">
        <v>284</v>
      </c>
      <c r="C369" s="19" t="s">
        <v>7</v>
      </c>
      <c r="D369" s="19" t="s">
        <v>21</v>
      </c>
      <c r="E369" s="58" t="s">
        <v>476</v>
      </c>
      <c r="F369" s="19" t="s">
        <v>101</v>
      </c>
      <c r="G369" s="28">
        <v>600</v>
      </c>
    </row>
    <row r="370" spans="1:7" x14ac:dyDescent="0.2">
      <c r="A370" s="44" t="s">
        <v>109</v>
      </c>
      <c r="B370" s="3" t="s">
        <v>284</v>
      </c>
      <c r="C370" s="19" t="s">
        <v>7</v>
      </c>
      <c r="D370" s="19" t="s">
        <v>21</v>
      </c>
      <c r="E370" s="58" t="s">
        <v>476</v>
      </c>
      <c r="F370" s="19" t="s">
        <v>104</v>
      </c>
      <c r="G370" s="28">
        <f>179681-600</f>
        <v>179081</v>
      </c>
    </row>
    <row r="371" spans="1:7" x14ac:dyDescent="0.2">
      <c r="A371" s="1" t="s">
        <v>121</v>
      </c>
      <c r="B371" s="3" t="s">
        <v>284</v>
      </c>
      <c r="C371" s="3" t="s">
        <v>7</v>
      </c>
      <c r="D371" s="3" t="s">
        <v>17</v>
      </c>
      <c r="E371" s="3"/>
      <c r="F371" s="3"/>
      <c r="G371" s="32">
        <f>G372</f>
        <v>20000</v>
      </c>
    </row>
    <row r="372" spans="1:7" x14ac:dyDescent="0.2">
      <c r="A372" s="9" t="s">
        <v>115</v>
      </c>
      <c r="B372" s="3" t="s">
        <v>284</v>
      </c>
      <c r="C372" s="19" t="s">
        <v>7</v>
      </c>
      <c r="D372" s="19" t="s">
        <v>17</v>
      </c>
      <c r="E372" s="19" t="s">
        <v>122</v>
      </c>
      <c r="F372" s="12"/>
      <c r="G372" s="28">
        <f>G373</f>
        <v>20000</v>
      </c>
    </row>
    <row r="373" spans="1:7" ht="30" x14ac:dyDescent="0.2">
      <c r="A373" s="1" t="s">
        <v>100</v>
      </c>
      <c r="B373" s="3" t="s">
        <v>284</v>
      </c>
      <c r="C373" s="3" t="s">
        <v>7</v>
      </c>
      <c r="D373" s="3" t="s">
        <v>17</v>
      </c>
      <c r="E373" s="3" t="s">
        <v>126</v>
      </c>
      <c r="F373" s="3"/>
      <c r="G373" s="28">
        <f>G374</f>
        <v>20000</v>
      </c>
    </row>
    <row r="374" spans="1:7" ht="30" x14ac:dyDescent="0.2">
      <c r="A374" s="1" t="s">
        <v>719</v>
      </c>
      <c r="B374" s="3" t="s">
        <v>284</v>
      </c>
      <c r="C374" s="3" t="s">
        <v>7</v>
      </c>
      <c r="D374" s="3" t="s">
        <v>17</v>
      </c>
      <c r="E374" s="3" t="s">
        <v>720</v>
      </c>
      <c r="F374" s="3"/>
      <c r="G374" s="28">
        <f>G375</f>
        <v>20000</v>
      </c>
    </row>
    <row r="375" spans="1:7" ht="30" x14ac:dyDescent="0.2">
      <c r="A375" s="44" t="s">
        <v>102</v>
      </c>
      <c r="B375" s="3" t="s">
        <v>284</v>
      </c>
      <c r="C375" s="3" t="s">
        <v>7</v>
      </c>
      <c r="D375" s="3" t="s">
        <v>17</v>
      </c>
      <c r="E375" s="3" t="s">
        <v>720</v>
      </c>
      <c r="F375" s="3" t="s">
        <v>101</v>
      </c>
      <c r="G375" s="28">
        <v>20000</v>
      </c>
    </row>
    <row r="376" spans="1:7" x14ac:dyDescent="0.2">
      <c r="A376" s="9" t="s">
        <v>35</v>
      </c>
      <c r="B376" s="3" t="s">
        <v>284</v>
      </c>
      <c r="C376" s="5">
        <v>10</v>
      </c>
      <c r="D376" s="2"/>
      <c r="E376" s="2"/>
      <c r="G376" s="32">
        <f t="shared" ref="G376:G381" si="3">G377</f>
        <v>676484.1</v>
      </c>
    </row>
    <row r="377" spans="1:7" x14ac:dyDescent="0.2">
      <c r="A377" s="9" t="s">
        <v>95</v>
      </c>
      <c r="B377" s="3" t="s">
        <v>284</v>
      </c>
      <c r="C377" s="40" t="s">
        <v>36</v>
      </c>
      <c r="D377" s="19" t="s">
        <v>15</v>
      </c>
      <c r="E377" s="65"/>
      <c r="F377" s="65"/>
      <c r="G377" s="66">
        <f t="shared" si="3"/>
        <v>676484.1</v>
      </c>
    </row>
    <row r="378" spans="1:7" ht="30" x14ac:dyDescent="0.2">
      <c r="A378" s="56" t="s">
        <v>156</v>
      </c>
      <c r="B378" s="3" t="s">
        <v>284</v>
      </c>
      <c r="C378" s="40" t="s">
        <v>36</v>
      </c>
      <c r="D378" s="19" t="s">
        <v>15</v>
      </c>
      <c r="E378" s="58" t="s">
        <v>157</v>
      </c>
      <c r="F378" s="19"/>
      <c r="G378" s="28">
        <f t="shared" si="3"/>
        <v>676484.1</v>
      </c>
    </row>
    <row r="379" spans="1:7" ht="45" x14ac:dyDescent="0.2">
      <c r="A379" s="56" t="s">
        <v>117</v>
      </c>
      <c r="B379" s="3" t="s">
        <v>284</v>
      </c>
      <c r="C379" s="40" t="s">
        <v>36</v>
      </c>
      <c r="D379" s="19" t="s">
        <v>15</v>
      </c>
      <c r="E379" s="58" t="s">
        <v>158</v>
      </c>
      <c r="F379" s="19"/>
      <c r="G379" s="28">
        <f t="shared" si="3"/>
        <v>676484.1</v>
      </c>
    </row>
    <row r="380" spans="1:7" ht="45" x14ac:dyDescent="0.2">
      <c r="A380" s="56" t="s">
        <v>343</v>
      </c>
      <c r="B380" s="5">
        <v>814</v>
      </c>
      <c r="C380" s="40" t="s">
        <v>36</v>
      </c>
      <c r="D380" s="19" t="s">
        <v>15</v>
      </c>
      <c r="E380" s="58" t="s">
        <v>344</v>
      </c>
      <c r="F380" s="19"/>
      <c r="G380" s="28">
        <f t="shared" si="3"/>
        <v>676484.1</v>
      </c>
    </row>
    <row r="381" spans="1:7" x14ac:dyDescent="0.2">
      <c r="A381" s="56" t="s">
        <v>118</v>
      </c>
      <c r="B381" s="3" t="s">
        <v>284</v>
      </c>
      <c r="C381" s="40" t="s">
        <v>36</v>
      </c>
      <c r="D381" s="19" t="s">
        <v>15</v>
      </c>
      <c r="E381" s="58" t="s">
        <v>345</v>
      </c>
      <c r="F381" s="19"/>
      <c r="G381" s="28">
        <f t="shared" si="3"/>
        <v>676484.1</v>
      </c>
    </row>
    <row r="382" spans="1:7" x14ac:dyDescent="0.2">
      <c r="A382" s="44" t="s">
        <v>109</v>
      </c>
      <c r="B382" s="3" t="s">
        <v>284</v>
      </c>
      <c r="C382" s="40" t="s">
        <v>36</v>
      </c>
      <c r="D382" s="19" t="s">
        <v>15</v>
      </c>
      <c r="E382" s="58" t="s">
        <v>345</v>
      </c>
      <c r="F382" s="19" t="s">
        <v>104</v>
      </c>
      <c r="G382" s="28">
        <v>676484.1</v>
      </c>
    </row>
    <row r="383" spans="1:7" x14ac:dyDescent="0.2">
      <c r="A383" s="43"/>
      <c r="B383" s="36"/>
      <c r="C383" s="36"/>
      <c r="D383" s="29"/>
      <c r="E383" s="29"/>
      <c r="F383" s="29"/>
      <c r="G383" s="29"/>
    </row>
    <row r="384" spans="1:7" ht="42.75" x14ac:dyDescent="0.2">
      <c r="A384" s="6" t="s">
        <v>73</v>
      </c>
      <c r="B384" s="12" t="s">
        <v>285</v>
      </c>
      <c r="C384" s="12"/>
      <c r="D384" s="12"/>
      <c r="E384" s="12"/>
      <c r="F384" s="12"/>
      <c r="G384" s="79">
        <f>G385+G402</f>
        <v>80105.8</v>
      </c>
    </row>
    <row r="385" spans="1:7" x14ac:dyDescent="0.2">
      <c r="A385" s="1" t="s">
        <v>5</v>
      </c>
      <c r="B385" s="3" t="s">
        <v>285</v>
      </c>
      <c r="C385" s="3" t="s">
        <v>6</v>
      </c>
      <c r="D385" s="3"/>
      <c r="E385" s="3"/>
      <c r="F385" s="3"/>
      <c r="G385" s="8">
        <f>G386+G392</f>
        <v>32105.800000000003</v>
      </c>
    </row>
    <row r="386" spans="1:7" ht="45" x14ac:dyDescent="0.2">
      <c r="A386" s="9" t="s">
        <v>26</v>
      </c>
      <c r="B386" s="3" t="s">
        <v>285</v>
      </c>
      <c r="C386" s="10" t="s">
        <v>6</v>
      </c>
      <c r="D386" s="10" t="s">
        <v>7</v>
      </c>
      <c r="E386" s="11"/>
      <c r="F386" s="10"/>
      <c r="G386" s="31">
        <f>G387</f>
        <v>22654.400000000001</v>
      </c>
    </row>
    <row r="387" spans="1:7" x14ac:dyDescent="0.2">
      <c r="A387" s="54" t="s">
        <v>115</v>
      </c>
      <c r="B387" s="3" t="s">
        <v>285</v>
      </c>
      <c r="C387" s="55" t="s">
        <v>6</v>
      </c>
      <c r="D387" s="55" t="s">
        <v>7</v>
      </c>
      <c r="E387" s="55" t="s">
        <v>122</v>
      </c>
      <c r="F387" s="3"/>
      <c r="G387" s="47">
        <f>G388</f>
        <v>22654.400000000001</v>
      </c>
    </row>
    <row r="388" spans="1:7" x14ac:dyDescent="0.2">
      <c r="A388" s="20" t="s">
        <v>8</v>
      </c>
      <c r="B388" s="3" t="s">
        <v>285</v>
      </c>
      <c r="C388" s="19" t="s">
        <v>6</v>
      </c>
      <c r="D388" s="55" t="s">
        <v>7</v>
      </c>
      <c r="E388" s="55" t="s">
        <v>123</v>
      </c>
      <c r="F388" s="19"/>
      <c r="G388" s="47">
        <f>SUM(G389:G391)</f>
        <v>22654.400000000001</v>
      </c>
    </row>
    <row r="389" spans="1:7" ht="60" x14ac:dyDescent="0.2">
      <c r="A389" s="44" t="s">
        <v>108</v>
      </c>
      <c r="B389" s="3" t="s">
        <v>285</v>
      </c>
      <c r="C389" s="19" t="s">
        <v>6</v>
      </c>
      <c r="D389" s="55" t="s">
        <v>7</v>
      </c>
      <c r="E389" s="55" t="s">
        <v>123</v>
      </c>
      <c r="F389" s="19" t="s">
        <v>103</v>
      </c>
      <c r="G389" s="47">
        <f>14581.2+1470+2368.4+1438.1</f>
        <v>19857.7</v>
      </c>
    </row>
    <row r="390" spans="1:7" ht="30" x14ac:dyDescent="0.2">
      <c r="A390" s="44" t="s">
        <v>102</v>
      </c>
      <c r="B390" s="3" t="s">
        <v>285</v>
      </c>
      <c r="C390" s="19" t="s">
        <v>6</v>
      </c>
      <c r="D390" s="55" t="s">
        <v>7</v>
      </c>
      <c r="E390" s="55" t="s">
        <v>123</v>
      </c>
      <c r="F390" s="19" t="s">
        <v>101</v>
      </c>
      <c r="G390" s="47">
        <v>2772</v>
      </c>
    </row>
    <row r="391" spans="1:7" x14ac:dyDescent="0.2">
      <c r="A391" s="44" t="s">
        <v>109</v>
      </c>
      <c r="B391" s="3" t="s">
        <v>285</v>
      </c>
      <c r="C391" s="19" t="s">
        <v>6</v>
      </c>
      <c r="D391" s="55" t="s">
        <v>7</v>
      </c>
      <c r="E391" s="55" t="s">
        <v>123</v>
      </c>
      <c r="F391" s="19" t="s">
        <v>104</v>
      </c>
      <c r="G391" s="47">
        <v>24.7</v>
      </c>
    </row>
    <row r="392" spans="1:7" x14ac:dyDescent="0.2">
      <c r="A392" s="1" t="s">
        <v>42</v>
      </c>
      <c r="B392" s="3" t="s">
        <v>285</v>
      </c>
      <c r="C392" s="3" t="s">
        <v>6</v>
      </c>
      <c r="D392" s="3" t="s">
        <v>50</v>
      </c>
      <c r="E392" s="3"/>
      <c r="F392" s="3"/>
      <c r="G392" s="8">
        <f>G393</f>
        <v>9451.4</v>
      </c>
    </row>
    <row r="393" spans="1:7" x14ac:dyDescent="0.2">
      <c r="A393" s="20" t="s">
        <v>115</v>
      </c>
      <c r="B393" s="3" t="s">
        <v>285</v>
      </c>
      <c r="C393" s="3" t="s">
        <v>6</v>
      </c>
      <c r="D393" s="3" t="s">
        <v>50</v>
      </c>
      <c r="E393" s="55" t="s">
        <v>122</v>
      </c>
      <c r="F393" s="19"/>
      <c r="G393" s="47">
        <f>G394+G396+G399</f>
        <v>9451.4</v>
      </c>
    </row>
    <row r="394" spans="1:7" x14ac:dyDescent="0.2">
      <c r="A394" s="44" t="s">
        <v>94</v>
      </c>
      <c r="B394" s="3" t="s">
        <v>285</v>
      </c>
      <c r="C394" s="3" t="s">
        <v>6</v>
      </c>
      <c r="D394" s="3" t="s">
        <v>50</v>
      </c>
      <c r="E394" s="55" t="s">
        <v>146</v>
      </c>
      <c r="F394" s="19"/>
      <c r="G394" s="47">
        <f>G395</f>
        <v>242</v>
      </c>
    </row>
    <row r="395" spans="1:7" x14ac:dyDescent="0.2">
      <c r="A395" s="44" t="s">
        <v>109</v>
      </c>
      <c r="B395" s="3" t="s">
        <v>285</v>
      </c>
      <c r="C395" s="3" t="s">
        <v>6</v>
      </c>
      <c r="D395" s="3" t="s">
        <v>50</v>
      </c>
      <c r="E395" s="55" t="s">
        <v>146</v>
      </c>
      <c r="F395" s="19" t="s">
        <v>104</v>
      </c>
      <c r="G395" s="47">
        <v>242</v>
      </c>
    </row>
    <row r="396" spans="1:7" ht="60" x14ac:dyDescent="0.2">
      <c r="A396" s="45" t="s">
        <v>59</v>
      </c>
      <c r="B396" s="3" t="s">
        <v>285</v>
      </c>
      <c r="C396" s="3" t="s">
        <v>6</v>
      </c>
      <c r="D396" s="3" t="s">
        <v>50</v>
      </c>
      <c r="E396" s="3" t="s">
        <v>160</v>
      </c>
      <c r="F396" s="19"/>
      <c r="G396" s="47">
        <f>SUM(G397:G398)</f>
        <v>7330.8</v>
      </c>
    </row>
    <row r="397" spans="1:7" ht="60" x14ac:dyDescent="0.2">
      <c r="A397" s="44" t="s">
        <v>108</v>
      </c>
      <c r="B397" s="3" t="s">
        <v>285</v>
      </c>
      <c r="C397" s="3" t="s">
        <v>6</v>
      </c>
      <c r="D397" s="3" t="s">
        <v>50</v>
      </c>
      <c r="E397" s="3" t="s">
        <v>160</v>
      </c>
      <c r="F397" s="19" t="s">
        <v>103</v>
      </c>
      <c r="G397" s="47">
        <f>5842.5+529.1</f>
        <v>6371.6</v>
      </c>
    </row>
    <row r="398" spans="1:7" ht="30" x14ac:dyDescent="0.2">
      <c r="A398" s="44" t="s">
        <v>102</v>
      </c>
      <c r="B398" s="3" t="s">
        <v>285</v>
      </c>
      <c r="C398" s="3" t="s">
        <v>6</v>
      </c>
      <c r="D398" s="3" t="s">
        <v>50</v>
      </c>
      <c r="E398" s="3" t="s">
        <v>160</v>
      </c>
      <c r="F398" s="19" t="s">
        <v>101</v>
      </c>
      <c r="G398" s="47">
        <f>932.9+26.3</f>
        <v>959.19999999999993</v>
      </c>
    </row>
    <row r="399" spans="1:7" ht="30" x14ac:dyDescent="0.2">
      <c r="A399" s="45" t="s">
        <v>100</v>
      </c>
      <c r="B399" s="3" t="s">
        <v>285</v>
      </c>
      <c r="C399" s="3" t="s">
        <v>6</v>
      </c>
      <c r="D399" s="3" t="s">
        <v>50</v>
      </c>
      <c r="E399" s="19" t="s">
        <v>126</v>
      </c>
      <c r="F399" s="19"/>
      <c r="G399" s="47">
        <f>G400</f>
        <v>1878.6</v>
      </c>
    </row>
    <row r="400" spans="1:7" ht="45" x14ac:dyDescent="0.2">
      <c r="A400" s="44" t="s">
        <v>528</v>
      </c>
      <c r="B400" s="3" t="s">
        <v>285</v>
      </c>
      <c r="C400" s="3" t="s">
        <v>6</v>
      </c>
      <c r="D400" s="3" t="s">
        <v>50</v>
      </c>
      <c r="E400" s="19" t="s">
        <v>529</v>
      </c>
      <c r="F400" s="19"/>
      <c r="G400" s="47">
        <f>G401</f>
        <v>1878.6</v>
      </c>
    </row>
    <row r="401" spans="1:7" ht="60" x14ac:dyDescent="0.2">
      <c r="A401" s="44" t="s">
        <v>108</v>
      </c>
      <c r="B401" s="3" t="s">
        <v>285</v>
      </c>
      <c r="C401" s="3" t="s">
        <v>6</v>
      </c>
      <c r="D401" s="3" t="s">
        <v>50</v>
      </c>
      <c r="E401" s="19" t="s">
        <v>529</v>
      </c>
      <c r="F401" s="19" t="s">
        <v>103</v>
      </c>
      <c r="G401" s="47">
        <f>111.1+638.4+1063+66.1</f>
        <v>1878.6</v>
      </c>
    </row>
    <row r="402" spans="1:7" x14ac:dyDescent="0.2">
      <c r="A402" s="1" t="s">
        <v>19</v>
      </c>
      <c r="B402" s="3" t="s">
        <v>285</v>
      </c>
      <c r="C402" s="3" t="s">
        <v>7</v>
      </c>
      <c r="D402" s="3"/>
      <c r="E402" s="19"/>
      <c r="F402" s="19"/>
      <c r="G402" s="47">
        <f>G403</f>
        <v>48000</v>
      </c>
    </row>
    <row r="403" spans="1:7" x14ac:dyDescent="0.2">
      <c r="A403" s="44" t="s">
        <v>643</v>
      </c>
      <c r="B403" s="3" t="s">
        <v>285</v>
      </c>
      <c r="C403" s="3" t="s">
        <v>7</v>
      </c>
      <c r="D403" s="3" t="s">
        <v>520</v>
      </c>
      <c r="E403" s="3"/>
      <c r="F403" s="3"/>
      <c r="G403" s="32">
        <f>G404</f>
        <v>48000</v>
      </c>
    </row>
    <row r="404" spans="1:7" x14ac:dyDescent="0.2">
      <c r="A404" s="44" t="s">
        <v>115</v>
      </c>
      <c r="B404" s="3" t="s">
        <v>285</v>
      </c>
      <c r="C404" s="3" t="s">
        <v>7</v>
      </c>
      <c r="D404" s="3" t="s">
        <v>520</v>
      </c>
      <c r="E404" s="3" t="s">
        <v>122</v>
      </c>
      <c r="F404" s="3"/>
      <c r="G404" s="32">
        <f>G405</f>
        <v>48000</v>
      </c>
    </row>
    <row r="405" spans="1:7" x14ac:dyDescent="0.2">
      <c r="A405" s="44" t="s">
        <v>674</v>
      </c>
      <c r="B405" s="3" t="s">
        <v>285</v>
      </c>
      <c r="C405" s="3" t="s">
        <v>7</v>
      </c>
      <c r="D405" s="3" t="s">
        <v>520</v>
      </c>
      <c r="E405" s="3" t="s">
        <v>675</v>
      </c>
      <c r="F405" s="3"/>
      <c r="G405" s="32">
        <f>G406</f>
        <v>48000</v>
      </c>
    </row>
    <row r="406" spans="1:7" ht="30" x14ac:dyDescent="0.2">
      <c r="A406" s="1" t="s">
        <v>677</v>
      </c>
      <c r="B406" s="3" t="s">
        <v>285</v>
      </c>
      <c r="C406" s="3" t="s">
        <v>7</v>
      </c>
      <c r="D406" s="3" t="s">
        <v>520</v>
      </c>
      <c r="E406" s="3" t="s">
        <v>675</v>
      </c>
      <c r="F406" s="3" t="s">
        <v>676</v>
      </c>
      <c r="G406" s="32">
        <v>48000</v>
      </c>
    </row>
    <row r="407" spans="1:7" x14ac:dyDescent="0.2">
      <c r="A407" s="69"/>
      <c r="B407" s="3"/>
      <c r="C407" s="3"/>
      <c r="D407" s="3"/>
      <c r="E407" s="40"/>
      <c r="F407" s="3"/>
      <c r="G407" s="15"/>
    </row>
    <row r="408" spans="1:7" ht="42.75" x14ac:dyDescent="0.2">
      <c r="A408" s="6" t="s">
        <v>74</v>
      </c>
      <c r="B408" s="12" t="s">
        <v>286</v>
      </c>
      <c r="C408" s="12"/>
      <c r="D408" s="12"/>
      <c r="E408" s="12"/>
      <c r="F408" s="12"/>
      <c r="G408" s="79">
        <f>G409+G424</f>
        <v>192965.7</v>
      </c>
    </row>
    <row r="409" spans="1:7" s="24" customFormat="1" x14ac:dyDescent="0.2">
      <c r="A409" s="20" t="s">
        <v>5</v>
      </c>
      <c r="B409" s="3" t="s">
        <v>286</v>
      </c>
      <c r="C409" s="3" t="s">
        <v>6</v>
      </c>
      <c r="D409" s="3"/>
      <c r="E409" s="3"/>
      <c r="F409" s="3"/>
      <c r="G409" s="30">
        <f>G410+G416</f>
        <v>177200.40000000002</v>
      </c>
    </row>
    <row r="410" spans="1:7" s="24" customFormat="1" ht="45" x14ac:dyDescent="0.2">
      <c r="A410" s="9" t="s">
        <v>26</v>
      </c>
      <c r="B410" s="3" t="s">
        <v>286</v>
      </c>
      <c r="C410" s="10" t="s">
        <v>6</v>
      </c>
      <c r="D410" s="10" t="s">
        <v>7</v>
      </c>
      <c r="E410" s="11"/>
      <c r="F410" s="10"/>
      <c r="G410" s="30">
        <f>G411</f>
        <v>104202.10000000002</v>
      </c>
    </row>
    <row r="411" spans="1:7" s="24" customFormat="1" x14ac:dyDescent="0.2">
      <c r="A411" s="54" t="s">
        <v>115</v>
      </c>
      <c r="B411" s="3" t="s">
        <v>286</v>
      </c>
      <c r="C411" s="55" t="s">
        <v>6</v>
      </c>
      <c r="D411" s="55" t="s">
        <v>7</v>
      </c>
      <c r="E411" s="55" t="s">
        <v>122</v>
      </c>
      <c r="F411" s="3"/>
      <c r="G411" s="31">
        <f>G412</f>
        <v>104202.10000000002</v>
      </c>
    </row>
    <row r="412" spans="1:7" s="24" customFormat="1" x14ac:dyDescent="0.2">
      <c r="A412" s="20" t="s">
        <v>8</v>
      </c>
      <c r="B412" s="3" t="s">
        <v>286</v>
      </c>
      <c r="C412" s="19" t="s">
        <v>6</v>
      </c>
      <c r="D412" s="55" t="s">
        <v>7</v>
      </c>
      <c r="E412" s="55" t="s">
        <v>123</v>
      </c>
      <c r="F412" s="19"/>
      <c r="G412" s="31">
        <f>G413+G414+G415</f>
        <v>104202.10000000002</v>
      </c>
    </row>
    <row r="413" spans="1:7" s="24" customFormat="1" ht="60" x14ac:dyDescent="0.2">
      <c r="A413" s="44" t="s">
        <v>108</v>
      </c>
      <c r="B413" s="3" t="s">
        <v>286</v>
      </c>
      <c r="C413" s="19" t="s">
        <v>6</v>
      </c>
      <c r="D413" s="55" t="s">
        <v>7</v>
      </c>
      <c r="E413" s="55" t="s">
        <v>123</v>
      </c>
      <c r="F413" s="19" t="s">
        <v>103</v>
      </c>
      <c r="G413" s="31">
        <f>66002.3+7230.8+15474.6+8012.6</f>
        <v>96720.300000000017</v>
      </c>
    </row>
    <row r="414" spans="1:7" s="24" customFormat="1" ht="30" x14ac:dyDescent="0.2">
      <c r="A414" s="44" t="s">
        <v>102</v>
      </c>
      <c r="B414" s="3" t="s">
        <v>286</v>
      </c>
      <c r="C414" s="19" t="s">
        <v>6</v>
      </c>
      <c r="D414" s="19" t="s">
        <v>7</v>
      </c>
      <c r="E414" s="55" t="s">
        <v>123</v>
      </c>
      <c r="F414" s="19" t="s">
        <v>101</v>
      </c>
      <c r="G414" s="31">
        <f>5673.2+467.1+142.4+1185</f>
        <v>7467.7</v>
      </c>
    </row>
    <row r="415" spans="1:7" s="24" customFormat="1" x14ac:dyDescent="0.2">
      <c r="A415" s="44" t="s">
        <v>109</v>
      </c>
      <c r="B415" s="3" t="s">
        <v>286</v>
      </c>
      <c r="C415" s="19" t="s">
        <v>6</v>
      </c>
      <c r="D415" s="19" t="s">
        <v>7</v>
      </c>
      <c r="E415" s="55" t="s">
        <v>123</v>
      </c>
      <c r="F415" s="19" t="s">
        <v>104</v>
      </c>
      <c r="G415" s="47">
        <v>14.1</v>
      </c>
    </row>
    <row r="416" spans="1:7" s="24" customFormat="1" x14ac:dyDescent="0.2">
      <c r="A416" s="1" t="s">
        <v>42</v>
      </c>
      <c r="B416" s="3" t="s">
        <v>286</v>
      </c>
      <c r="C416" s="3" t="s">
        <v>6</v>
      </c>
      <c r="D416" s="3" t="s">
        <v>50</v>
      </c>
      <c r="E416" s="3"/>
      <c r="F416" s="3"/>
      <c r="G416" s="8">
        <f>G417</f>
        <v>72998.299999999988</v>
      </c>
    </row>
    <row r="417" spans="1:7" s="24" customFormat="1" x14ac:dyDescent="0.2">
      <c r="A417" s="20" t="s">
        <v>115</v>
      </c>
      <c r="B417" s="3" t="s">
        <v>286</v>
      </c>
      <c r="C417" s="3" t="s">
        <v>6</v>
      </c>
      <c r="D417" s="3" t="s">
        <v>50</v>
      </c>
      <c r="E417" s="55" t="s">
        <v>122</v>
      </c>
      <c r="F417" s="19"/>
      <c r="G417" s="47">
        <f>G418+G420+G422</f>
        <v>72998.299999999988</v>
      </c>
    </row>
    <row r="418" spans="1:7" s="24" customFormat="1" x14ac:dyDescent="0.2">
      <c r="A418" s="44" t="s">
        <v>94</v>
      </c>
      <c r="B418" s="3" t="s">
        <v>286</v>
      </c>
      <c r="C418" s="3" t="s">
        <v>6</v>
      </c>
      <c r="D418" s="3" t="s">
        <v>50</v>
      </c>
      <c r="E418" s="55" t="s">
        <v>146</v>
      </c>
      <c r="F418" s="19"/>
      <c r="G418" s="47">
        <f>G419</f>
        <v>16.7</v>
      </c>
    </row>
    <row r="419" spans="1:7" s="24" customFormat="1" x14ac:dyDescent="0.2">
      <c r="A419" s="44" t="s">
        <v>109</v>
      </c>
      <c r="B419" s="3" t="s">
        <v>286</v>
      </c>
      <c r="C419" s="3" t="s">
        <v>6</v>
      </c>
      <c r="D419" s="3" t="s">
        <v>50</v>
      </c>
      <c r="E419" s="55" t="s">
        <v>146</v>
      </c>
      <c r="F419" s="19" t="s">
        <v>104</v>
      </c>
      <c r="G419" s="47">
        <v>16.7</v>
      </c>
    </row>
    <row r="420" spans="1:7" s="24" customFormat="1" x14ac:dyDescent="0.2">
      <c r="A420" s="20" t="s">
        <v>18</v>
      </c>
      <c r="B420" s="48">
        <v>816</v>
      </c>
      <c r="C420" s="3" t="s">
        <v>6</v>
      </c>
      <c r="D420" s="3" t="s">
        <v>50</v>
      </c>
      <c r="E420" s="19" t="s">
        <v>155</v>
      </c>
      <c r="F420" s="19"/>
      <c r="G420" s="31">
        <f>G421</f>
        <v>42981.599999999999</v>
      </c>
    </row>
    <row r="421" spans="1:7" s="24" customFormat="1" ht="30" x14ac:dyDescent="0.2">
      <c r="A421" s="20" t="s">
        <v>112</v>
      </c>
      <c r="B421" s="48">
        <v>816</v>
      </c>
      <c r="C421" s="3" t="s">
        <v>6</v>
      </c>
      <c r="D421" s="3" t="s">
        <v>50</v>
      </c>
      <c r="E421" s="19" t="s">
        <v>155</v>
      </c>
      <c r="F421" s="19" t="s">
        <v>107</v>
      </c>
      <c r="G421" s="31">
        <f>18686.3+4336.7+19666+292.6</f>
        <v>42981.599999999999</v>
      </c>
    </row>
    <row r="422" spans="1:7" s="24" customFormat="1" x14ac:dyDescent="0.2">
      <c r="A422" s="44" t="s">
        <v>674</v>
      </c>
      <c r="B422" s="48">
        <v>816</v>
      </c>
      <c r="C422" s="3" t="s">
        <v>6</v>
      </c>
      <c r="D422" s="3" t="s">
        <v>50</v>
      </c>
      <c r="E422" s="19" t="s">
        <v>675</v>
      </c>
      <c r="F422" s="19"/>
      <c r="G422" s="31">
        <f>G423</f>
        <v>30000</v>
      </c>
    </row>
    <row r="423" spans="1:7" s="24" customFormat="1" ht="30" x14ac:dyDescent="0.2">
      <c r="A423" s="20" t="s">
        <v>677</v>
      </c>
      <c r="B423" s="48">
        <v>816</v>
      </c>
      <c r="C423" s="3" t="s">
        <v>6</v>
      </c>
      <c r="D423" s="3" t="s">
        <v>50</v>
      </c>
      <c r="E423" s="19" t="s">
        <v>675</v>
      </c>
      <c r="F423" s="19" t="s">
        <v>676</v>
      </c>
      <c r="G423" s="31">
        <v>30000</v>
      </c>
    </row>
    <row r="424" spans="1:7" s="24" customFormat="1" x14ac:dyDescent="0.2">
      <c r="A424" s="1" t="s">
        <v>19</v>
      </c>
      <c r="B424" s="48">
        <v>816</v>
      </c>
      <c r="C424" s="3" t="s">
        <v>7</v>
      </c>
      <c r="D424" s="3"/>
      <c r="E424" s="19"/>
      <c r="F424" s="19"/>
      <c r="G424" s="31">
        <f t="shared" ref="G424:G429" si="4">G425</f>
        <v>15765.3</v>
      </c>
    </row>
    <row r="425" spans="1:7" s="24" customFormat="1" x14ac:dyDescent="0.2">
      <c r="A425" s="44" t="s">
        <v>643</v>
      </c>
      <c r="B425" s="48">
        <v>816</v>
      </c>
      <c r="C425" s="3" t="s">
        <v>7</v>
      </c>
      <c r="D425" s="3" t="s">
        <v>520</v>
      </c>
      <c r="E425" s="3"/>
      <c r="F425" s="19"/>
      <c r="G425" s="31">
        <f t="shared" si="4"/>
        <v>15765.3</v>
      </c>
    </row>
    <row r="426" spans="1:7" s="24" customFormat="1" ht="45" x14ac:dyDescent="0.2">
      <c r="A426" s="44" t="s">
        <v>725</v>
      </c>
      <c r="B426" s="48">
        <v>816</v>
      </c>
      <c r="C426" s="3" t="s">
        <v>7</v>
      </c>
      <c r="D426" s="3" t="s">
        <v>520</v>
      </c>
      <c r="E426" s="3" t="s">
        <v>729</v>
      </c>
      <c r="F426" s="3"/>
      <c r="G426" s="31">
        <f t="shared" si="4"/>
        <v>15765.3</v>
      </c>
    </row>
    <row r="427" spans="1:7" s="24" customFormat="1" ht="45" x14ac:dyDescent="0.2">
      <c r="A427" s="44" t="s">
        <v>726</v>
      </c>
      <c r="B427" s="48">
        <v>816</v>
      </c>
      <c r="C427" s="3" t="s">
        <v>7</v>
      </c>
      <c r="D427" s="3" t="s">
        <v>520</v>
      </c>
      <c r="E427" s="3" t="s">
        <v>730</v>
      </c>
      <c r="F427" s="3"/>
      <c r="G427" s="31">
        <f t="shared" si="4"/>
        <v>15765.3</v>
      </c>
    </row>
    <row r="428" spans="1:7" s="24" customFormat="1" ht="45" x14ac:dyDescent="0.2">
      <c r="A428" s="44" t="s">
        <v>727</v>
      </c>
      <c r="B428" s="48">
        <v>816</v>
      </c>
      <c r="C428" s="3" t="s">
        <v>7</v>
      </c>
      <c r="D428" s="3" t="s">
        <v>520</v>
      </c>
      <c r="E428" s="3" t="s">
        <v>731</v>
      </c>
      <c r="F428" s="3"/>
      <c r="G428" s="31">
        <f t="shared" si="4"/>
        <v>15765.3</v>
      </c>
    </row>
    <row r="429" spans="1:7" s="24" customFormat="1" ht="30" x14ac:dyDescent="0.2">
      <c r="A429" s="56" t="s">
        <v>797</v>
      </c>
      <c r="B429" s="48">
        <v>816</v>
      </c>
      <c r="C429" s="3" t="s">
        <v>7</v>
      </c>
      <c r="D429" s="3" t="s">
        <v>520</v>
      </c>
      <c r="E429" s="3" t="s">
        <v>798</v>
      </c>
      <c r="F429" s="3"/>
      <c r="G429" s="31">
        <f t="shared" si="4"/>
        <v>15765.3</v>
      </c>
    </row>
    <row r="430" spans="1:7" s="24" customFormat="1" ht="30" x14ac:dyDescent="0.2">
      <c r="A430" s="20" t="s">
        <v>112</v>
      </c>
      <c r="B430" s="48">
        <v>816</v>
      </c>
      <c r="C430" s="3" t="s">
        <v>7</v>
      </c>
      <c r="D430" s="3" t="s">
        <v>520</v>
      </c>
      <c r="E430" s="3" t="s">
        <v>798</v>
      </c>
      <c r="F430" s="3" t="s">
        <v>107</v>
      </c>
      <c r="G430" s="31">
        <v>15765.3</v>
      </c>
    </row>
    <row r="431" spans="1:7" s="24" customFormat="1" x14ac:dyDescent="0.2">
      <c r="A431" s="1"/>
      <c r="B431" s="3"/>
      <c r="C431" s="3"/>
      <c r="D431" s="3"/>
      <c r="E431" s="3"/>
      <c r="F431" s="3"/>
      <c r="G431" s="30"/>
    </row>
    <row r="432" spans="1:7" ht="50.25" customHeight="1" x14ac:dyDescent="0.2">
      <c r="A432" s="14" t="s">
        <v>75</v>
      </c>
      <c r="B432" s="12" t="s">
        <v>287</v>
      </c>
      <c r="C432" s="3"/>
      <c r="D432" s="3"/>
      <c r="E432" s="3"/>
      <c r="F432" s="3"/>
      <c r="G432" s="79">
        <f>G433+G450+G455</f>
        <v>179580.1</v>
      </c>
    </row>
    <row r="433" spans="1:7" x14ac:dyDescent="0.2">
      <c r="A433" s="1" t="s">
        <v>5</v>
      </c>
      <c r="B433" s="3" t="s">
        <v>287</v>
      </c>
      <c r="C433" s="3" t="s">
        <v>6</v>
      </c>
      <c r="D433" s="3"/>
      <c r="E433" s="7"/>
      <c r="F433" s="7"/>
      <c r="G433" s="15">
        <f>G434</f>
        <v>176199.1</v>
      </c>
    </row>
    <row r="434" spans="1:7" x14ac:dyDescent="0.2">
      <c r="A434" s="1" t="s">
        <v>42</v>
      </c>
      <c r="B434" s="3" t="s">
        <v>287</v>
      </c>
      <c r="C434" s="3" t="s">
        <v>6</v>
      </c>
      <c r="D434" s="3" t="s">
        <v>50</v>
      </c>
      <c r="E434" s="13"/>
      <c r="F434" s="3"/>
      <c r="G434" s="31">
        <f>G435</f>
        <v>176199.1</v>
      </c>
    </row>
    <row r="435" spans="1:7" x14ac:dyDescent="0.2">
      <c r="A435" s="20" t="s">
        <v>115</v>
      </c>
      <c r="B435" s="3" t="s">
        <v>287</v>
      </c>
      <c r="C435" s="3" t="s">
        <v>6</v>
      </c>
      <c r="D435" s="3" t="s">
        <v>50</v>
      </c>
      <c r="E435" s="55" t="s">
        <v>122</v>
      </c>
      <c r="F435" s="19"/>
      <c r="G435" s="47">
        <f>G436+G440+G442</f>
        <v>176199.1</v>
      </c>
    </row>
    <row r="436" spans="1:7" x14ac:dyDescent="0.2">
      <c r="A436" s="45" t="s">
        <v>8</v>
      </c>
      <c r="B436" s="3" t="s">
        <v>287</v>
      </c>
      <c r="C436" s="3" t="s">
        <v>6</v>
      </c>
      <c r="D436" s="3" t="s">
        <v>50</v>
      </c>
      <c r="E436" s="55" t="s">
        <v>123</v>
      </c>
      <c r="F436" s="19"/>
      <c r="G436" s="47">
        <f>SUM(G437:G439)</f>
        <v>111606.8</v>
      </c>
    </row>
    <row r="437" spans="1:7" ht="60" x14ac:dyDescent="0.2">
      <c r="A437" s="44" t="s">
        <v>108</v>
      </c>
      <c r="B437" s="3" t="s">
        <v>287</v>
      </c>
      <c r="C437" s="3" t="s">
        <v>6</v>
      </c>
      <c r="D437" s="3" t="s">
        <v>50</v>
      </c>
      <c r="E437" s="55" t="s">
        <v>123</v>
      </c>
      <c r="F437" s="19" t="s">
        <v>103</v>
      </c>
      <c r="G437" s="47">
        <f>69182+6881.8+10979+6652.8</f>
        <v>93695.6</v>
      </c>
    </row>
    <row r="438" spans="1:7" ht="30" x14ac:dyDescent="0.2">
      <c r="A438" s="44" t="s">
        <v>102</v>
      </c>
      <c r="B438" s="3" t="s">
        <v>287</v>
      </c>
      <c r="C438" s="3" t="s">
        <v>6</v>
      </c>
      <c r="D438" s="3" t="s">
        <v>50</v>
      </c>
      <c r="E438" s="55" t="s">
        <v>123</v>
      </c>
      <c r="F438" s="19" t="s">
        <v>101</v>
      </c>
      <c r="G438" s="47">
        <f>17164.8+4.3+667.8</f>
        <v>17836.899999999998</v>
      </c>
    </row>
    <row r="439" spans="1:7" x14ac:dyDescent="0.2">
      <c r="A439" s="44" t="s">
        <v>109</v>
      </c>
      <c r="B439" s="3" t="s">
        <v>287</v>
      </c>
      <c r="C439" s="3" t="s">
        <v>6</v>
      </c>
      <c r="D439" s="3" t="s">
        <v>50</v>
      </c>
      <c r="E439" s="55" t="s">
        <v>123</v>
      </c>
      <c r="F439" s="19" t="s">
        <v>104</v>
      </c>
      <c r="G439" s="47">
        <v>74.3</v>
      </c>
    </row>
    <row r="440" spans="1:7" x14ac:dyDescent="0.2">
      <c r="A440" s="44" t="s">
        <v>94</v>
      </c>
      <c r="B440" s="3" t="s">
        <v>287</v>
      </c>
      <c r="C440" s="3" t="s">
        <v>6</v>
      </c>
      <c r="D440" s="3" t="s">
        <v>50</v>
      </c>
      <c r="E440" s="55" t="s">
        <v>146</v>
      </c>
      <c r="F440" s="19"/>
      <c r="G440" s="47">
        <f>G441</f>
        <v>435.2</v>
      </c>
    </row>
    <row r="441" spans="1:7" x14ac:dyDescent="0.2">
      <c r="A441" s="44" t="s">
        <v>109</v>
      </c>
      <c r="B441" s="3" t="s">
        <v>287</v>
      </c>
      <c r="C441" s="3" t="s">
        <v>6</v>
      </c>
      <c r="D441" s="3" t="s">
        <v>50</v>
      </c>
      <c r="E441" s="55" t="s">
        <v>146</v>
      </c>
      <c r="F441" s="19" t="s">
        <v>104</v>
      </c>
      <c r="G441" s="47">
        <v>435.2</v>
      </c>
    </row>
    <row r="442" spans="1:7" ht="30" x14ac:dyDescent="0.2">
      <c r="A442" s="45" t="s">
        <v>100</v>
      </c>
      <c r="B442" s="3" t="s">
        <v>287</v>
      </c>
      <c r="C442" s="3" t="s">
        <v>6</v>
      </c>
      <c r="D442" s="3" t="s">
        <v>50</v>
      </c>
      <c r="E442" s="19" t="s">
        <v>126</v>
      </c>
      <c r="F442" s="19"/>
      <c r="G442" s="47">
        <f>G443+G445+G448</f>
        <v>64157.1</v>
      </c>
    </row>
    <row r="443" spans="1:7" x14ac:dyDescent="0.2">
      <c r="A443" s="45" t="s">
        <v>506</v>
      </c>
      <c r="B443" s="3" t="s">
        <v>287</v>
      </c>
      <c r="C443" s="3" t="s">
        <v>6</v>
      </c>
      <c r="D443" s="3" t="s">
        <v>50</v>
      </c>
      <c r="E443" s="19" t="s">
        <v>507</v>
      </c>
      <c r="F443" s="19"/>
      <c r="G443" s="47">
        <f>G444</f>
        <v>4000</v>
      </c>
    </row>
    <row r="444" spans="1:7" x14ac:dyDescent="0.2">
      <c r="A444" s="44" t="s">
        <v>109</v>
      </c>
      <c r="B444" s="3" t="s">
        <v>287</v>
      </c>
      <c r="C444" s="3" t="s">
        <v>6</v>
      </c>
      <c r="D444" s="3" t="s">
        <v>50</v>
      </c>
      <c r="E444" s="19" t="s">
        <v>507</v>
      </c>
      <c r="F444" s="19" t="s">
        <v>104</v>
      </c>
      <c r="G444" s="47">
        <v>4000</v>
      </c>
    </row>
    <row r="445" spans="1:7" x14ac:dyDescent="0.2">
      <c r="A445" s="45" t="s">
        <v>42</v>
      </c>
      <c r="B445" s="3" t="s">
        <v>287</v>
      </c>
      <c r="C445" s="3" t="s">
        <v>6</v>
      </c>
      <c r="D445" s="3" t="s">
        <v>50</v>
      </c>
      <c r="E445" s="19" t="s">
        <v>461</v>
      </c>
      <c r="F445" s="19"/>
      <c r="G445" s="47">
        <f>G446+G447</f>
        <v>59610.9</v>
      </c>
    </row>
    <row r="446" spans="1:7" ht="30" x14ac:dyDescent="0.2">
      <c r="A446" s="44" t="s">
        <v>102</v>
      </c>
      <c r="B446" s="3" t="s">
        <v>287</v>
      </c>
      <c r="C446" s="3" t="s">
        <v>6</v>
      </c>
      <c r="D446" s="3" t="s">
        <v>50</v>
      </c>
      <c r="E446" s="19" t="s">
        <v>461</v>
      </c>
      <c r="F446" s="19" t="s">
        <v>101</v>
      </c>
      <c r="G446" s="47">
        <f>25115.2+20000+12702.8</f>
        <v>57818</v>
      </c>
    </row>
    <row r="447" spans="1:7" ht="30" x14ac:dyDescent="0.2">
      <c r="A447" s="20" t="s">
        <v>677</v>
      </c>
      <c r="B447" s="5">
        <v>817</v>
      </c>
      <c r="C447" s="3" t="s">
        <v>6</v>
      </c>
      <c r="D447" s="3" t="s">
        <v>50</v>
      </c>
      <c r="E447" s="19" t="s">
        <v>461</v>
      </c>
      <c r="F447" s="19" t="s">
        <v>676</v>
      </c>
      <c r="G447" s="47">
        <f>1792.9</f>
        <v>1792.9</v>
      </c>
    </row>
    <row r="448" spans="1:7" ht="75" x14ac:dyDescent="0.2">
      <c r="A448" s="1" t="s">
        <v>821</v>
      </c>
      <c r="B448" s="5">
        <v>817</v>
      </c>
      <c r="C448" s="3" t="s">
        <v>6</v>
      </c>
      <c r="D448" s="3" t="s">
        <v>50</v>
      </c>
      <c r="E448" s="19" t="s">
        <v>822</v>
      </c>
      <c r="F448" s="19"/>
      <c r="G448" s="47">
        <f>G449</f>
        <v>546.20000000000005</v>
      </c>
    </row>
    <row r="449" spans="1:7" ht="30" x14ac:dyDescent="0.2">
      <c r="A449" s="44" t="s">
        <v>102</v>
      </c>
      <c r="B449" s="5">
        <v>817</v>
      </c>
      <c r="C449" s="3" t="s">
        <v>6</v>
      </c>
      <c r="D449" s="3" t="s">
        <v>50</v>
      </c>
      <c r="E449" s="19" t="s">
        <v>822</v>
      </c>
      <c r="F449" s="19" t="s">
        <v>101</v>
      </c>
      <c r="G449" s="47">
        <v>546.20000000000005</v>
      </c>
    </row>
    <row r="450" spans="1:7" x14ac:dyDescent="0.2">
      <c r="A450" s="1" t="s">
        <v>19</v>
      </c>
      <c r="B450" s="3" t="s">
        <v>287</v>
      </c>
      <c r="C450" s="3" t="s">
        <v>7</v>
      </c>
      <c r="D450" s="3"/>
      <c r="E450" s="19"/>
      <c r="F450" s="19"/>
      <c r="G450" s="47">
        <f>G451</f>
        <v>950</v>
      </c>
    </row>
    <row r="451" spans="1:7" x14ac:dyDescent="0.2">
      <c r="A451" s="44" t="s">
        <v>643</v>
      </c>
      <c r="B451" s="3" t="s">
        <v>287</v>
      </c>
      <c r="C451" s="3" t="s">
        <v>7</v>
      </c>
      <c r="D451" s="3" t="s">
        <v>520</v>
      </c>
      <c r="E451" s="19"/>
      <c r="F451" s="19"/>
      <c r="G451" s="47">
        <f>G452</f>
        <v>950</v>
      </c>
    </row>
    <row r="452" spans="1:7" x14ac:dyDescent="0.2">
      <c r="A452" s="44" t="s">
        <v>115</v>
      </c>
      <c r="B452" s="3" t="s">
        <v>287</v>
      </c>
      <c r="C452" s="3" t="s">
        <v>7</v>
      </c>
      <c r="D452" s="3" t="s">
        <v>520</v>
      </c>
      <c r="E452" s="3" t="s">
        <v>122</v>
      </c>
      <c r="F452" s="3"/>
      <c r="G452" s="32">
        <f>G453</f>
        <v>950</v>
      </c>
    </row>
    <row r="453" spans="1:7" x14ac:dyDescent="0.2">
      <c r="A453" s="44" t="s">
        <v>530</v>
      </c>
      <c r="B453" s="3" t="s">
        <v>287</v>
      </c>
      <c r="C453" s="3" t="s">
        <v>7</v>
      </c>
      <c r="D453" s="3" t="s">
        <v>520</v>
      </c>
      <c r="E453" s="3" t="s">
        <v>531</v>
      </c>
      <c r="F453" s="3"/>
      <c r="G453" s="32">
        <f>G454</f>
        <v>950</v>
      </c>
    </row>
    <row r="454" spans="1:7" ht="30" x14ac:dyDescent="0.2">
      <c r="A454" s="44" t="s">
        <v>102</v>
      </c>
      <c r="B454" s="3" t="s">
        <v>287</v>
      </c>
      <c r="C454" s="3" t="s">
        <v>7</v>
      </c>
      <c r="D454" s="3" t="s">
        <v>520</v>
      </c>
      <c r="E454" s="3" t="s">
        <v>531</v>
      </c>
      <c r="F454" s="3" t="s">
        <v>101</v>
      </c>
      <c r="G454" s="32">
        <v>950</v>
      </c>
    </row>
    <row r="455" spans="1:7" x14ac:dyDescent="0.2">
      <c r="A455" s="1" t="s">
        <v>22</v>
      </c>
      <c r="B455" s="3" t="s">
        <v>287</v>
      </c>
      <c r="C455" s="3" t="s">
        <v>9</v>
      </c>
      <c r="D455" s="3"/>
      <c r="E455" s="3"/>
      <c r="F455" s="3"/>
      <c r="G455" s="32">
        <f>G456</f>
        <v>2431</v>
      </c>
    </row>
    <row r="456" spans="1:7" x14ac:dyDescent="0.2">
      <c r="A456" s="44" t="s">
        <v>446</v>
      </c>
      <c r="B456" s="3" t="s">
        <v>287</v>
      </c>
      <c r="C456" s="3" t="s">
        <v>9</v>
      </c>
      <c r="D456" s="3" t="s">
        <v>16</v>
      </c>
      <c r="E456" s="3"/>
      <c r="F456" s="3"/>
      <c r="G456" s="32">
        <f>G457</f>
        <v>2431</v>
      </c>
    </row>
    <row r="457" spans="1:7" x14ac:dyDescent="0.2">
      <c r="A457" s="44" t="s">
        <v>115</v>
      </c>
      <c r="B457" s="3" t="s">
        <v>287</v>
      </c>
      <c r="C457" s="3" t="s">
        <v>9</v>
      </c>
      <c r="D457" s="3" t="s">
        <v>16</v>
      </c>
      <c r="E457" s="3" t="s">
        <v>122</v>
      </c>
      <c r="F457" s="3"/>
      <c r="G457" s="32">
        <f>G458</f>
        <v>2431</v>
      </c>
    </row>
    <row r="458" spans="1:7" x14ac:dyDescent="0.2">
      <c r="A458" s="44" t="s">
        <v>42</v>
      </c>
      <c r="B458" s="3" t="s">
        <v>287</v>
      </c>
      <c r="C458" s="3" t="s">
        <v>9</v>
      </c>
      <c r="D458" s="3" t="s">
        <v>16</v>
      </c>
      <c r="E458" s="3" t="s">
        <v>126</v>
      </c>
      <c r="F458" s="3"/>
      <c r="G458" s="32">
        <f>G459</f>
        <v>2431</v>
      </c>
    </row>
    <row r="459" spans="1:7" x14ac:dyDescent="0.2">
      <c r="A459" s="88" t="s">
        <v>800</v>
      </c>
      <c r="B459" s="3" t="s">
        <v>287</v>
      </c>
      <c r="C459" s="3" t="s">
        <v>9</v>
      </c>
      <c r="D459" s="3" t="s">
        <v>16</v>
      </c>
      <c r="E459" s="3" t="s">
        <v>801</v>
      </c>
      <c r="F459" s="3"/>
      <c r="G459" s="32">
        <f>G460</f>
        <v>2431</v>
      </c>
    </row>
    <row r="460" spans="1:7" ht="30" x14ac:dyDescent="0.2">
      <c r="A460" s="45" t="s">
        <v>102</v>
      </c>
      <c r="B460" s="3" t="s">
        <v>287</v>
      </c>
      <c r="C460" s="3" t="s">
        <v>9</v>
      </c>
      <c r="D460" s="3" t="s">
        <v>16</v>
      </c>
      <c r="E460" s="3" t="s">
        <v>801</v>
      </c>
      <c r="F460" s="3" t="s">
        <v>101</v>
      </c>
      <c r="G460" s="32">
        <f>24+2407</f>
        <v>2431</v>
      </c>
    </row>
    <row r="461" spans="1:7" x14ac:dyDescent="0.2">
      <c r="A461" s="45"/>
      <c r="B461" s="3"/>
      <c r="C461" s="3"/>
      <c r="D461" s="3"/>
      <c r="E461" s="3"/>
      <c r="F461" s="3"/>
      <c r="G461" s="32"/>
    </row>
    <row r="462" spans="1:7" s="27" customFormat="1" ht="42.75" x14ac:dyDescent="0.2">
      <c r="A462" s="21" t="s">
        <v>76</v>
      </c>
      <c r="B462" s="22" t="s">
        <v>288</v>
      </c>
      <c r="C462" s="22"/>
      <c r="D462" s="22"/>
      <c r="E462" s="22"/>
      <c r="F462" s="22"/>
      <c r="G462" s="80">
        <f>G463</f>
        <v>20227.500000000004</v>
      </c>
    </row>
    <row r="463" spans="1:7" s="24" customFormat="1" x14ac:dyDescent="0.2">
      <c r="A463" s="20" t="s">
        <v>5</v>
      </c>
      <c r="B463" s="3" t="s">
        <v>288</v>
      </c>
      <c r="C463" s="3" t="s">
        <v>6</v>
      </c>
      <c r="D463" s="3"/>
      <c r="E463" s="3"/>
      <c r="F463" s="3"/>
      <c r="G463" s="30">
        <f>G464+G471</f>
        <v>20227.500000000004</v>
      </c>
    </row>
    <row r="464" spans="1:7" s="24" customFormat="1" ht="45" x14ac:dyDescent="0.2">
      <c r="A464" s="9" t="s">
        <v>26</v>
      </c>
      <c r="B464" s="3" t="s">
        <v>288</v>
      </c>
      <c r="C464" s="3" t="s">
        <v>6</v>
      </c>
      <c r="D464" s="3" t="s">
        <v>7</v>
      </c>
      <c r="E464" s="55"/>
      <c r="F464" s="19"/>
      <c r="G464" s="30">
        <f>G465</f>
        <v>20187.300000000003</v>
      </c>
    </row>
    <row r="465" spans="1:7" s="24" customFormat="1" ht="75" x14ac:dyDescent="0.2">
      <c r="A465" s="44" t="s">
        <v>437</v>
      </c>
      <c r="B465" s="3" t="s">
        <v>288</v>
      </c>
      <c r="C465" s="19" t="s">
        <v>6</v>
      </c>
      <c r="D465" s="19" t="s">
        <v>7</v>
      </c>
      <c r="E465" s="3" t="s">
        <v>438</v>
      </c>
      <c r="F465" s="19"/>
      <c r="G465" s="47">
        <f>G466</f>
        <v>20187.300000000003</v>
      </c>
    </row>
    <row r="466" spans="1:7" s="24" customFormat="1" ht="30" x14ac:dyDescent="0.2">
      <c r="A466" s="44" t="s">
        <v>406</v>
      </c>
      <c r="B466" s="3" t="s">
        <v>288</v>
      </c>
      <c r="C466" s="19" t="s">
        <v>6</v>
      </c>
      <c r="D466" s="19" t="s">
        <v>7</v>
      </c>
      <c r="E466" s="3" t="s">
        <v>439</v>
      </c>
      <c r="F466" s="19"/>
      <c r="G466" s="47">
        <f>G467</f>
        <v>20187.300000000003</v>
      </c>
    </row>
    <row r="467" spans="1:7" s="24" customFormat="1" x14ac:dyDescent="0.2">
      <c r="A467" s="44" t="s">
        <v>8</v>
      </c>
      <c r="B467" s="3" t="s">
        <v>288</v>
      </c>
      <c r="C467" s="19" t="s">
        <v>6</v>
      </c>
      <c r="D467" s="19" t="s">
        <v>7</v>
      </c>
      <c r="E467" s="3" t="s">
        <v>440</v>
      </c>
      <c r="F467" s="19"/>
      <c r="G467" s="47">
        <f>SUM(G468:G470)</f>
        <v>20187.300000000003</v>
      </c>
    </row>
    <row r="468" spans="1:7" s="24" customFormat="1" ht="60" x14ac:dyDescent="0.2">
      <c r="A468" s="44" t="s">
        <v>108</v>
      </c>
      <c r="B468" s="3" t="s">
        <v>288</v>
      </c>
      <c r="C468" s="19" t="s">
        <v>6</v>
      </c>
      <c r="D468" s="19" t="s">
        <v>7</v>
      </c>
      <c r="E468" s="3" t="s">
        <v>440</v>
      </c>
      <c r="F468" s="19" t="s">
        <v>103</v>
      </c>
      <c r="G468" s="47">
        <f>13387.2+1356.8+2126.2+1280.4</f>
        <v>18150.600000000002</v>
      </c>
    </row>
    <row r="469" spans="1:7" s="24" customFormat="1" ht="30" x14ac:dyDescent="0.2">
      <c r="A469" s="44" t="s">
        <v>102</v>
      </c>
      <c r="B469" s="3" t="s">
        <v>288</v>
      </c>
      <c r="C469" s="19" t="s">
        <v>6</v>
      </c>
      <c r="D469" s="19" t="s">
        <v>7</v>
      </c>
      <c r="E469" s="3" t="s">
        <v>440</v>
      </c>
      <c r="F469" s="19" t="s">
        <v>101</v>
      </c>
      <c r="G469" s="47">
        <f>1993.5+40.5</f>
        <v>2034</v>
      </c>
    </row>
    <row r="470" spans="1:7" s="24" customFormat="1" x14ac:dyDescent="0.2">
      <c r="A470" s="44" t="s">
        <v>109</v>
      </c>
      <c r="B470" s="3" t="s">
        <v>288</v>
      </c>
      <c r="C470" s="19" t="s">
        <v>6</v>
      </c>
      <c r="D470" s="19" t="s">
        <v>7</v>
      </c>
      <c r="E470" s="3" t="s">
        <v>440</v>
      </c>
      <c r="F470" s="19" t="s">
        <v>104</v>
      </c>
      <c r="G470" s="47">
        <v>2.7</v>
      </c>
    </row>
    <row r="471" spans="1:7" s="24" customFormat="1" x14ac:dyDescent="0.2">
      <c r="A471" s="1" t="s">
        <v>42</v>
      </c>
      <c r="B471" s="3" t="s">
        <v>288</v>
      </c>
      <c r="C471" s="19" t="s">
        <v>6</v>
      </c>
      <c r="D471" s="19" t="s">
        <v>50</v>
      </c>
      <c r="E471" s="3"/>
      <c r="F471" s="19"/>
      <c r="G471" s="47">
        <f>G472</f>
        <v>40.200000000000003</v>
      </c>
    </row>
    <row r="472" spans="1:7" s="24" customFormat="1" ht="75" x14ac:dyDescent="0.2">
      <c r="A472" s="44" t="s">
        <v>437</v>
      </c>
      <c r="B472" s="3" t="s">
        <v>288</v>
      </c>
      <c r="C472" s="19" t="s">
        <v>6</v>
      </c>
      <c r="D472" s="19" t="s">
        <v>50</v>
      </c>
      <c r="E472" s="3" t="s">
        <v>438</v>
      </c>
      <c r="F472" s="19"/>
      <c r="G472" s="47">
        <f>G473</f>
        <v>40.200000000000003</v>
      </c>
    </row>
    <row r="473" spans="1:7" s="24" customFormat="1" ht="30" x14ac:dyDescent="0.2">
      <c r="A473" s="44" t="s">
        <v>406</v>
      </c>
      <c r="B473" s="3" t="s">
        <v>288</v>
      </c>
      <c r="C473" s="19" t="s">
        <v>6</v>
      </c>
      <c r="D473" s="19" t="s">
        <v>50</v>
      </c>
      <c r="E473" s="3" t="s">
        <v>439</v>
      </c>
      <c r="F473" s="19"/>
      <c r="G473" s="47">
        <f>G474</f>
        <v>40.200000000000003</v>
      </c>
    </row>
    <row r="474" spans="1:7" s="24" customFormat="1" x14ac:dyDescent="0.2">
      <c r="A474" s="44" t="s">
        <v>94</v>
      </c>
      <c r="B474" s="3" t="s">
        <v>288</v>
      </c>
      <c r="C474" s="19" t="s">
        <v>6</v>
      </c>
      <c r="D474" s="19" t="s">
        <v>50</v>
      </c>
      <c r="E474" s="3" t="s">
        <v>441</v>
      </c>
      <c r="F474" s="19"/>
      <c r="G474" s="47">
        <f>G475</f>
        <v>40.200000000000003</v>
      </c>
    </row>
    <row r="475" spans="1:7" s="24" customFormat="1" x14ac:dyDescent="0.2">
      <c r="A475" s="44" t="s">
        <v>109</v>
      </c>
      <c r="B475" s="3" t="s">
        <v>288</v>
      </c>
      <c r="C475" s="19" t="s">
        <v>6</v>
      </c>
      <c r="D475" s="19" t="s">
        <v>50</v>
      </c>
      <c r="E475" s="3" t="s">
        <v>441</v>
      </c>
      <c r="F475" s="19" t="s">
        <v>104</v>
      </c>
      <c r="G475" s="47">
        <v>40.200000000000003</v>
      </c>
    </row>
    <row r="476" spans="1:7" x14ac:dyDescent="0.2">
      <c r="A476" s="43"/>
      <c r="B476" s="36"/>
      <c r="C476" s="36"/>
      <c r="D476" s="29"/>
      <c r="E476" s="29"/>
      <c r="F476" s="29"/>
      <c r="G476" s="29"/>
    </row>
    <row r="477" spans="1:7" ht="42.75" x14ac:dyDescent="0.2">
      <c r="A477" s="6" t="s">
        <v>77</v>
      </c>
      <c r="B477" s="7" t="s">
        <v>289</v>
      </c>
      <c r="C477" s="10"/>
      <c r="D477" s="10"/>
      <c r="E477" s="10"/>
      <c r="F477" s="10"/>
      <c r="G477" s="79">
        <f>G478+G493+G516</f>
        <v>1265614</v>
      </c>
    </row>
    <row r="478" spans="1:7" x14ac:dyDescent="0.2">
      <c r="A478" s="1" t="s">
        <v>5</v>
      </c>
      <c r="B478" s="3" t="s">
        <v>289</v>
      </c>
      <c r="C478" s="3" t="s">
        <v>6</v>
      </c>
      <c r="D478" s="3"/>
      <c r="E478" s="7"/>
      <c r="F478" s="7"/>
      <c r="G478" s="15">
        <f>G479+G487</f>
        <v>9678.7000000000007</v>
      </c>
    </row>
    <row r="479" spans="1:7" ht="45" x14ac:dyDescent="0.2">
      <c r="A479" s="9" t="s">
        <v>26</v>
      </c>
      <c r="B479" s="3" t="s">
        <v>289</v>
      </c>
      <c r="C479" s="10" t="s">
        <v>6</v>
      </c>
      <c r="D479" s="10" t="s">
        <v>7</v>
      </c>
      <c r="E479" s="11"/>
      <c r="F479" s="10"/>
      <c r="G479" s="31">
        <f>G480</f>
        <v>9155.6</v>
      </c>
    </row>
    <row r="480" spans="1:7" ht="30" x14ac:dyDescent="0.2">
      <c r="A480" s="44" t="s">
        <v>551</v>
      </c>
      <c r="B480" s="3" t="s">
        <v>289</v>
      </c>
      <c r="C480" s="55" t="s">
        <v>6</v>
      </c>
      <c r="D480" s="55" t="s">
        <v>7</v>
      </c>
      <c r="E480" s="10" t="s">
        <v>161</v>
      </c>
      <c r="F480" s="10"/>
      <c r="G480" s="31">
        <f>G481</f>
        <v>9155.6</v>
      </c>
    </row>
    <row r="481" spans="1:7" x14ac:dyDescent="0.2">
      <c r="A481" s="44" t="s">
        <v>162</v>
      </c>
      <c r="B481" s="3" t="s">
        <v>289</v>
      </c>
      <c r="C481" s="55" t="s">
        <v>6</v>
      </c>
      <c r="D481" s="55" t="s">
        <v>7</v>
      </c>
      <c r="E481" s="10" t="s">
        <v>163</v>
      </c>
      <c r="F481" s="10"/>
      <c r="G481" s="31">
        <f>G482</f>
        <v>9155.6</v>
      </c>
    </row>
    <row r="482" spans="1:7" ht="30" x14ac:dyDescent="0.2">
      <c r="A482" s="44" t="s">
        <v>218</v>
      </c>
      <c r="B482" s="3" t="s">
        <v>289</v>
      </c>
      <c r="C482" s="55" t="s">
        <v>6</v>
      </c>
      <c r="D482" s="55" t="s">
        <v>7</v>
      </c>
      <c r="E482" s="10" t="s">
        <v>164</v>
      </c>
      <c r="F482" s="10"/>
      <c r="G482" s="31">
        <f>G483</f>
        <v>9155.6</v>
      </c>
    </row>
    <row r="483" spans="1:7" x14ac:dyDescent="0.2">
      <c r="A483" s="20" t="s">
        <v>8</v>
      </c>
      <c r="B483" s="3" t="s">
        <v>289</v>
      </c>
      <c r="C483" s="55" t="s">
        <v>6</v>
      </c>
      <c r="D483" s="55" t="s">
        <v>7</v>
      </c>
      <c r="E483" s="10" t="s">
        <v>165</v>
      </c>
      <c r="F483" s="10"/>
      <c r="G483" s="31">
        <f>SUM(G484:G486)</f>
        <v>9155.6</v>
      </c>
    </row>
    <row r="484" spans="1:7" ht="60" x14ac:dyDescent="0.2">
      <c r="A484" s="44" t="s">
        <v>108</v>
      </c>
      <c r="B484" s="3" t="s">
        <v>289</v>
      </c>
      <c r="C484" s="55" t="s">
        <v>6</v>
      </c>
      <c r="D484" s="55" t="s">
        <v>7</v>
      </c>
      <c r="E484" s="10" t="s">
        <v>165</v>
      </c>
      <c r="F484" s="10" t="s">
        <v>103</v>
      </c>
      <c r="G484" s="31">
        <f>5888.7+582.2+920.2+556.1</f>
        <v>7947.2</v>
      </c>
    </row>
    <row r="485" spans="1:7" ht="30" x14ac:dyDescent="0.2">
      <c r="A485" s="44" t="s">
        <v>102</v>
      </c>
      <c r="B485" s="3" t="s">
        <v>289</v>
      </c>
      <c r="C485" s="55" t="s">
        <v>6</v>
      </c>
      <c r="D485" s="55" t="s">
        <v>7</v>
      </c>
      <c r="E485" s="10" t="s">
        <v>165</v>
      </c>
      <c r="F485" s="10" t="s">
        <v>101</v>
      </c>
      <c r="G485" s="31">
        <v>1206.2</v>
      </c>
    </row>
    <row r="486" spans="1:7" x14ac:dyDescent="0.2">
      <c r="A486" s="44" t="s">
        <v>109</v>
      </c>
      <c r="B486" s="3" t="s">
        <v>289</v>
      </c>
      <c r="C486" s="55" t="s">
        <v>6</v>
      </c>
      <c r="D486" s="55" t="s">
        <v>7</v>
      </c>
      <c r="E486" s="10" t="s">
        <v>165</v>
      </c>
      <c r="F486" s="10" t="s">
        <v>104</v>
      </c>
      <c r="G486" s="31">
        <v>2.2000000000000002</v>
      </c>
    </row>
    <row r="487" spans="1:7" x14ac:dyDescent="0.2">
      <c r="A487" s="1" t="s">
        <v>42</v>
      </c>
      <c r="B487" s="3" t="s">
        <v>289</v>
      </c>
      <c r="C487" s="3" t="s">
        <v>6</v>
      </c>
      <c r="D487" s="3" t="s">
        <v>50</v>
      </c>
      <c r="E487" s="3"/>
      <c r="F487" s="10"/>
      <c r="G487" s="31">
        <f>G488</f>
        <v>523.1</v>
      </c>
    </row>
    <row r="488" spans="1:7" ht="30" x14ac:dyDescent="0.2">
      <c r="A488" s="44" t="s">
        <v>551</v>
      </c>
      <c r="B488" s="3" t="s">
        <v>289</v>
      </c>
      <c r="C488" s="3" t="s">
        <v>6</v>
      </c>
      <c r="D488" s="3" t="s">
        <v>50</v>
      </c>
      <c r="E488" s="10" t="s">
        <v>161</v>
      </c>
      <c r="F488" s="10"/>
      <c r="G488" s="31">
        <f>G489</f>
        <v>523.1</v>
      </c>
    </row>
    <row r="489" spans="1:7" x14ac:dyDescent="0.2">
      <c r="A489" s="44" t="s">
        <v>162</v>
      </c>
      <c r="B489" s="3" t="s">
        <v>289</v>
      </c>
      <c r="C489" s="3" t="s">
        <v>6</v>
      </c>
      <c r="D489" s="3" t="s">
        <v>50</v>
      </c>
      <c r="E489" s="10" t="s">
        <v>163</v>
      </c>
      <c r="F489" s="10"/>
      <c r="G489" s="31">
        <f>G490</f>
        <v>523.1</v>
      </c>
    </row>
    <row r="490" spans="1:7" ht="30" x14ac:dyDescent="0.2">
      <c r="A490" s="44" t="s">
        <v>218</v>
      </c>
      <c r="B490" s="3" t="s">
        <v>289</v>
      </c>
      <c r="C490" s="3" t="s">
        <v>6</v>
      </c>
      <c r="D490" s="3" t="s">
        <v>50</v>
      </c>
      <c r="E490" s="10" t="s">
        <v>164</v>
      </c>
      <c r="F490" s="10"/>
      <c r="G490" s="31">
        <f>G491</f>
        <v>523.1</v>
      </c>
    </row>
    <row r="491" spans="1:7" x14ac:dyDescent="0.2">
      <c r="A491" s="44" t="s">
        <v>94</v>
      </c>
      <c r="B491" s="3" t="s">
        <v>289</v>
      </c>
      <c r="C491" s="3" t="s">
        <v>6</v>
      </c>
      <c r="D491" s="3" t="s">
        <v>50</v>
      </c>
      <c r="E491" s="10" t="s">
        <v>166</v>
      </c>
      <c r="F491" s="10"/>
      <c r="G491" s="31">
        <f>G492</f>
        <v>523.1</v>
      </c>
    </row>
    <row r="492" spans="1:7" x14ac:dyDescent="0.2">
      <c r="A492" s="44" t="s">
        <v>109</v>
      </c>
      <c r="B492" s="3" t="s">
        <v>289</v>
      </c>
      <c r="C492" s="3" t="s">
        <v>6</v>
      </c>
      <c r="D492" s="3" t="s">
        <v>50</v>
      </c>
      <c r="E492" s="10" t="s">
        <v>166</v>
      </c>
      <c r="F492" s="10" t="s">
        <v>104</v>
      </c>
      <c r="G492" s="31">
        <v>523.1</v>
      </c>
    </row>
    <row r="493" spans="1:7" x14ac:dyDescent="0.2">
      <c r="A493" s="1" t="s">
        <v>29</v>
      </c>
      <c r="B493" s="3" t="s">
        <v>289</v>
      </c>
      <c r="C493" s="3" t="s">
        <v>30</v>
      </c>
      <c r="D493" s="3"/>
      <c r="E493" s="10"/>
      <c r="F493" s="10"/>
      <c r="G493" s="31">
        <f>G494</f>
        <v>463956.2</v>
      </c>
    </row>
    <row r="494" spans="1:7" x14ac:dyDescent="0.2">
      <c r="A494" s="44" t="s">
        <v>468</v>
      </c>
      <c r="B494" s="3" t="s">
        <v>289</v>
      </c>
      <c r="C494" s="3" t="s">
        <v>30</v>
      </c>
      <c r="D494" s="3" t="s">
        <v>15</v>
      </c>
      <c r="E494" s="3"/>
      <c r="F494" s="19"/>
      <c r="G494" s="47">
        <f>G495</f>
        <v>463956.2</v>
      </c>
    </row>
    <row r="495" spans="1:7" ht="30" x14ac:dyDescent="0.2">
      <c r="A495" s="44" t="s">
        <v>551</v>
      </c>
      <c r="B495" s="3" t="s">
        <v>289</v>
      </c>
      <c r="C495" s="19" t="s">
        <v>30</v>
      </c>
      <c r="D495" s="3" t="s">
        <v>15</v>
      </c>
      <c r="E495" s="48" t="s">
        <v>161</v>
      </c>
      <c r="F495" s="48"/>
      <c r="G495" s="28">
        <f>G496+G512</f>
        <v>463956.2</v>
      </c>
    </row>
    <row r="496" spans="1:7" ht="45" x14ac:dyDescent="0.2">
      <c r="A496" s="18" t="s">
        <v>652</v>
      </c>
      <c r="B496" s="3" t="s">
        <v>289</v>
      </c>
      <c r="C496" s="19" t="s">
        <v>30</v>
      </c>
      <c r="D496" s="3" t="s">
        <v>15</v>
      </c>
      <c r="E496" s="48" t="s">
        <v>167</v>
      </c>
      <c r="F496" s="48"/>
      <c r="G496" s="28">
        <f>G497+G500+G503+G506+G509</f>
        <v>462956.2</v>
      </c>
    </row>
    <row r="497" spans="1:7" ht="30" x14ac:dyDescent="0.2">
      <c r="A497" s="18" t="s">
        <v>168</v>
      </c>
      <c r="B497" s="3" t="s">
        <v>289</v>
      </c>
      <c r="C497" s="19" t="s">
        <v>30</v>
      </c>
      <c r="D497" s="3" t="s">
        <v>15</v>
      </c>
      <c r="E497" s="48" t="s">
        <v>169</v>
      </c>
      <c r="F497" s="48"/>
      <c r="G497" s="28">
        <f>G498</f>
        <v>453290.10000000003</v>
      </c>
    </row>
    <row r="498" spans="1:7" ht="45" x14ac:dyDescent="0.2">
      <c r="A498" s="53" t="s">
        <v>651</v>
      </c>
      <c r="B498" s="3" t="s">
        <v>289</v>
      </c>
      <c r="C498" s="19" t="s">
        <v>30</v>
      </c>
      <c r="D498" s="3" t="s">
        <v>15</v>
      </c>
      <c r="E498" s="48" t="s">
        <v>170</v>
      </c>
      <c r="F498" s="48"/>
      <c r="G498" s="28">
        <f>G499</f>
        <v>453290.10000000003</v>
      </c>
    </row>
    <row r="499" spans="1:7" ht="30" x14ac:dyDescent="0.2">
      <c r="A499" s="20" t="s">
        <v>112</v>
      </c>
      <c r="B499" s="3" t="s">
        <v>289</v>
      </c>
      <c r="C499" s="19" t="s">
        <v>30</v>
      </c>
      <c r="D499" s="3" t="s">
        <v>15</v>
      </c>
      <c r="E499" s="48" t="s">
        <v>170</v>
      </c>
      <c r="F499" s="48">
        <v>600</v>
      </c>
      <c r="G499" s="28">
        <f>432099+13077.2+8113.9</f>
        <v>453290.10000000003</v>
      </c>
    </row>
    <row r="500" spans="1:7" ht="30" x14ac:dyDescent="0.2">
      <c r="A500" s="20" t="s">
        <v>171</v>
      </c>
      <c r="B500" s="3" t="s">
        <v>289</v>
      </c>
      <c r="C500" s="19" t="s">
        <v>30</v>
      </c>
      <c r="D500" s="3" t="s">
        <v>15</v>
      </c>
      <c r="E500" s="48" t="s">
        <v>172</v>
      </c>
      <c r="F500" s="48"/>
      <c r="G500" s="28">
        <f>G501</f>
        <v>2000</v>
      </c>
    </row>
    <row r="501" spans="1:7" ht="30" x14ac:dyDescent="0.2">
      <c r="A501" s="20" t="s">
        <v>173</v>
      </c>
      <c r="B501" s="3" t="s">
        <v>289</v>
      </c>
      <c r="C501" s="19" t="s">
        <v>30</v>
      </c>
      <c r="D501" s="3" t="s">
        <v>15</v>
      </c>
      <c r="E501" s="48" t="s">
        <v>174</v>
      </c>
      <c r="F501" s="48"/>
      <c r="G501" s="28">
        <f>G502</f>
        <v>2000</v>
      </c>
    </row>
    <row r="502" spans="1:7" ht="30" x14ac:dyDescent="0.2">
      <c r="A502" s="20" t="s">
        <v>112</v>
      </c>
      <c r="B502" s="3" t="s">
        <v>289</v>
      </c>
      <c r="C502" s="19" t="s">
        <v>30</v>
      </c>
      <c r="D502" s="3" t="s">
        <v>15</v>
      </c>
      <c r="E502" s="48" t="s">
        <v>174</v>
      </c>
      <c r="F502" s="48">
        <v>600</v>
      </c>
      <c r="G502" s="28">
        <v>2000</v>
      </c>
    </row>
    <row r="503" spans="1:7" ht="30" x14ac:dyDescent="0.2">
      <c r="A503" s="20" t="s">
        <v>175</v>
      </c>
      <c r="B503" s="3" t="s">
        <v>289</v>
      </c>
      <c r="C503" s="19" t="s">
        <v>30</v>
      </c>
      <c r="D503" s="3" t="s">
        <v>15</v>
      </c>
      <c r="E503" s="48" t="s">
        <v>176</v>
      </c>
      <c r="F503" s="48"/>
      <c r="G503" s="28">
        <f>G504</f>
        <v>7515.5</v>
      </c>
    </row>
    <row r="504" spans="1:7" ht="45" x14ac:dyDescent="0.2">
      <c r="A504" s="20" t="s">
        <v>346</v>
      </c>
      <c r="B504" s="3" t="s">
        <v>289</v>
      </c>
      <c r="C504" s="19" t="s">
        <v>30</v>
      </c>
      <c r="D504" s="3" t="s">
        <v>15</v>
      </c>
      <c r="E504" s="48" t="s">
        <v>178</v>
      </c>
      <c r="F504" s="48"/>
      <c r="G504" s="28">
        <f>G505</f>
        <v>7515.5</v>
      </c>
    </row>
    <row r="505" spans="1:7" ht="30" x14ac:dyDescent="0.2">
      <c r="A505" s="20" t="s">
        <v>112</v>
      </c>
      <c r="B505" s="3" t="s">
        <v>289</v>
      </c>
      <c r="C505" s="19" t="s">
        <v>30</v>
      </c>
      <c r="D505" s="3" t="s">
        <v>15</v>
      </c>
      <c r="E505" s="48" t="s">
        <v>178</v>
      </c>
      <c r="F505" s="48">
        <v>600</v>
      </c>
      <c r="G505" s="28">
        <f>1143.6+752.9+3000+2619</f>
        <v>7515.5</v>
      </c>
    </row>
    <row r="506" spans="1:7" ht="60" x14ac:dyDescent="0.2">
      <c r="A506" s="20" t="s">
        <v>654</v>
      </c>
      <c r="B506" s="3" t="s">
        <v>289</v>
      </c>
      <c r="C506" s="19" t="s">
        <v>30</v>
      </c>
      <c r="D506" s="19" t="s">
        <v>15</v>
      </c>
      <c r="E506" s="48" t="s">
        <v>564</v>
      </c>
      <c r="F506" s="48"/>
      <c r="G506" s="28">
        <f>G507</f>
        <v>127.1</v>
      </c>
    </row>
    <row r="507" spans="1:7" ht="60" x14ac:dyDescent="0.2">
      <c r="A507" s="20" t="s">
        <v>655</v>
      </c>
      <c r="B507" s="3" t="s">
        <v>289</v>
      </c>
      <c r="C507" s="19" t="s">
        <v>30</v>
      </c>
      <c r="D507" s="19" t="s">
        <v>15</v>
      </c>
      <c r="E507" s="48" t="s">
        <v>565</v>
      </c>
      <c r="F507" s="48"/>
      <c r="G507" s="28">
        <f>G508</f>
        <v>127.1</v>
      </c>
    </row>
    <row r="508" spans="1:7" ht="30" x14ac:dyDescent="0.2">
      <c r="A508" s="20" t="s">
        <v>112</v>
      </c>
      <c r="B508" s="3" t="s">
        <v>289</v>
      </c>
      <c r="C508" s="19" t="s">
        <v>30</v>
      </c>
      <c r="D508" s="19" t="s">
        <v>15</v>
      </c>
      <c r="E508" s="48" t="s">
        <v>565</v>
      </c>
      <c r="F508" s="48">
        <v>600</v>
      </c>
      <c r="G508" s="28">
        <v>127.1</v>
      </c>
    </row>
    <row r="509" spans="1:7" ht="60" x14ac:dyDescent="0.2">
      <c r="A509" s="20" t="s">
        <v>656</v>
      </c>
      <c r="B509" s="3" t="s">
        <v>289</v>
      </c>
      <c r="C509" s="19" t="s">
        <v>30</v>
      </c>
      <c r="D509" s="19" t="s">
        <v>15</v>
      </c>
      <c r="E509" s="48" t="s">
        <v>566</v>
      </c>
      <c r="F509" s="48"/>
      <c r="G509" s="28">
        <f>G510</f>
        <v>23.5</v>
      </c>
    </row>
    <row r="510" spans="1:7" ht="60" x14ac:dyDescent="0.2">
      <c r="A510" s="20" t="s">
        <v>657</v>
      </c>
      <c r="B510" s="3" t="s">
        <v>289</v>
      </c>
      <c r="C510" s="19" t="s">
        <v>30</v>
      </c>
      <c r="D510" s="19" t="s">
        <v>15</v>
      </c>
      <c r="E510" s="48" t="s">
        <v>567</v>
      </c>
      <c r="F510" s="48"/>
      <c r="G510" s="28">
        <f>G511</f>
        <v>23.5</v>
      </c>
    </row>
    <row r="511" spans="1:7" ht="30" x14ac:dyDescent="0.2">
      <c r="A511" s="20" t="s">
        <v>112</v>
      </c>
      <c r="B511" s="3" t="s">
        <v>289</v>
      </c>
      <c r="C511" s="19" t="s">
        <v>30</v>
      </c>
      <c r="D511" s="19" t="s">
        <v>15</v>
      </c>
      <c r="E511" s="48" t="s">
        <v>567</v>
      </c>
      <c r="F511" s="48">
        <v>600</v>
      </c>
      <c r="G511" s="28">
        <v>23.5</v>
      </c>
    </row>
    <row r="512" spans="1:7" x14ac:dyDescent="0.2">
      <c r="A512" s="1" t="s">
        <v>162</v>
      </c>
      <c r="B512" s="3" t="s">
        <v>289</v>
      </c>
      <c r="C512" s="19" t="s">
        <v>30</v>
      </c>
      <c r="D512" s="3" t="s">
        <v>15</v>
      </c>
      <c r="E512" s="48" t="s">
        <v>163</v>
      </c>
      <c r="F512" s="19"/>
      <c r="G512" s="28">
        <f>G513</f>
        <v>1000</v>
      </c>
    </row>
    <row r="513" spans="1:7" ht="45" x14ac:dyDescent="0.2">
      <c r="A513" s="20" t="s">
        <v>207</v>
      </c>
      <c r="B513" s="3" t="s">
        <v>289</v>
      </c>
      <c r="C513" s="19" t="s">
        <v>30</v>
      </c>
      <c r="D513" s="3" t="s">
        <v>15</v>
      </c>
      <c r="E513" s="19" t="s">
        <v>179</v>
      </c>
      <c r="F513" s="19"/>
      <c r="G513" s="28">
        <f>G514</f>
        <v>1000</v>
      </c>
    </row>
    <row r="514" spans="1:7" ht="30" x14ac:dyDescent="0.2">
      <c r="A514" s="1" t="s">
        <v>180</v>
      </c>
      <c r="B514" s="3" t="s">
        <v>289</v>
      </c>
      <c r="C514" s="19" t="s">
        <v>30</v>
      </c>
      <c r="D514" s="3" t="s">
        <v>15</v>
      </c>
      <c r="E514" s="19" t="s">
        <v>181</v>
      </c>
      <c r="F514" s="19"/>
      <c r="G514" s="28">
        <f>G515</f>
        <v>1000</v>
      </c>
    </row>
    <row r="515" spans="1:7" ht="30" x14ac:dyDescent="0.2">
      <c r="A515" s="20" t="s">
        <v>112</v>
      </c>
      <c r="B515" s="3" t="s">
        <v>289</v>
      </c>
      <c r="C515" s="19" t="s">
        <v>30</v>
      </c>
      <c r="D515" s="3" t="s">
        <v>15</v>
      </c>
      <c r="E515" s="19" t="s">
        <v>181</v>
      </c>
      <c r="F515" s="19" t="s">
        <v>107</v>
      </c>
      <c r="G515" s="28">
        <v>1000</v>
      </c>
    </row>
    <row r="516" spans="1:7" x14ac:dyDescent="0.2">
      <c r="A516" s="9" t="s">
        <v>182</v>
      </c>
      <c r="B516" s="3" t="s">
        <v>289</v>
      </c>
      <c r="C516" s="3" t="s">
        <v>21</v>
      </c>
      <c r="D516" s="3"/>
      <c r="E516" s="3"/>
      <c r="F516" s="3"/>
      <c r="G516" s="32">
        <f>G517+G566</f>
        <v>791979.1</v>
      </c>
    </row>
    <row r="517" spans="1:7" x14ac:dyDescent="0.2">
      <c r="A517" s="1" t="s">
        <v>183</v>
      </c>
      <c r="B517" s="3" t="s">
        <v>289</v>
      </c>
      <c r="C517" s="3" t="s">
        <v>21</v>
      </c>
      <c r="D517" s="3" t="s">
        <v>6</v>
      </c>
      <c r="E517" s="3"/>
      <c r="F517" s="3"/>
      <c r="G517" s="32">
        <f>G518+G560</f>
        <v>772038.29999999993</v>
      </c>
    </row>
    <row r="518" spans="1:7" ht="30" x14ac:dyDescent="0.2">
      <c r="A518" s="44" t="s">
        <v>551</v>
      </c>
      <c r="B518" s="3" t="s">
        <v>289</v>
      </c>
      <c r="C518" s="19" t="s">
        <v>21</v>
      </c>
      <c r="D518" s="19" t="s">
        <v>6</v>
      </c>
      <c r="E518" s="57" t="s">
        <v>161</v>
      </c>
      <c r="F518" s="19"/>
      <c r="G518" s="28">
        <f>G519+G523+G529+G536+G554</f>
        <v>712524.39999999991</v>
      </c>
    </row>
    <row r="519" spans="1:7" x14ac:dyDescent="0.2">
      <c r="A519" s="56" t="s">
        <v>184</v>
      </c>
      <c r="B519" s="3" t="s">
        <v>289</v>
      </c>
      <c r="C519" s="19" t="s">
        <v>21</v>
      </c>
      <c r="D519" s="19" t="s">
        <v>6</v>
      </c>
      <c r="E519" s="57" t="s">
        <v>185</v>
      </c>
      <c r="F519" s="19"/>
      <c r="G519" s="28">
        <f>G520</f>
        <v>26417.4</v>
      </c>
    </row>
    <row r="520" spans="1:7" x14ac:dyDescent="0.2">
      <c r="A520" s="18" t="s">
        <v>186</v>
      </c>
      <c r="B520" s="3" t="s">
        <v>289</v>
      </c>
      <c r="C520" s="19" t="s">
        <v>21</v>
      </c>
      <c r="D520" s="19" t="s">
        <v>6</v>
      </c>
      <c r="E520" s="57" t="s">
        <v>187</v>
      </c>
      <c r="F520" s="19"/>
      <c r="G520" s="28">
        <f>G521</f>
        <v>26417.4</v>
      </c>
    </row>
    <row r="521" spans="1:7" ht="30" x14ac:dyDescent="0.2">
      <c r="A521" s="20" t="s">
        <v>188</v>
      </c>
      <c r="B521" s="3" t="s">
        <v>289</v>
      </c>
      <c r="C521" s="19" t="s">
        <v>21</v>
      </c>
      <c r="D521" s="19" t="s">
        <v>6</v>
      </c>
      <c r="E521" s="57" t="s">
        <v>189</v>
      </c>
      <c r="F521" s="19"/>
      <c r="G521" s="28">
        <f>G522</f>
        <v>26417.4</v>
      </c>
    </row>
    <row r="522" spans="1:7" ht="30" x14ac:dyDescent="0.2">
      <c r="A522" s="20" t="s">
        <v>112</v>
      </c>
      <c r="B522" s="3" t="s">
        <v>289</v>
      </c>
      <c r="C522" s="19" t="s">
        <v>21</v>
      </c>
      <c r="D522" s="19" t="s">
        <v>6</v>
      </c>
      <c r="E522" s="57" t="s">
        <v>189</v>
      </c>
      <c r="F522" s="19" t="s">
        <v>107</v>
      </c>
      <c r="G522" s="28">
        <f>25071.5+223.7+1122.2</f>
        <v>26417.4</v>
      </c>
    </row>
    <row r="523" spans="1:7" x14ac:dyDescent="0.2">
      <c r="A523" s="18" t="s">
        <v>190</v>
      </c>
      <c r="B523" s="3" t="s">
        <v>289</v>
      </c>
      <c r="C523" s="19" t="s">
        <v>21</v>
      </c>
      <c r="D523" s="19" t="s">
        <v>6</v>
      </c>
      <c r="E523" s="57" t="s">
        <v>191</v>
      </c>
      <c r="F523" s="19"/>
      <c r="G523" s="28">
        <f>G524</f>
        <v>135373.70000000001</v>
      </c>
    </row>
    <row r="524" spans="1:7" x14ac:dyDescent="0.2">
      <c r="A524" s="44" t="s">
        <v>192</v>
      </c>
      <c r="B524" s="3" t="s">
        <v>289</v>
      </c>
      <c r="C524" s="19" t="s">
        <v>21</v>
      </c>
      <c r="D524" s="19" t="s">
        <v>6</v>
      </c>
      <c r="E524" s="57" t="s">
        <v>193</v>
      </c>
      <c r="F524" s="19"/>
      <c r="G524" s="28">
        <f>G525+G527</f>
        <v>135373.70000000001</v>
      </c>
    </row>
    <row r="525" spans="1:7" ht="30" x14ac:dyDescent="0.2">
      <c r="A525" s="9" t="s">
        <v>48</v>
      </c>
      <c r="B525" s="3" t="s">
        <v>289</v>
      </c>
      <c r="C525" s="23" t="s">
        <v>21</v>
      </c>
      <c r="D525" s="23" t="s">
        <v>6</v>
      </c>
      <c r="E525" s="57" t="s">
        <v>194</v>
      </c>
      <c r="F525" s="23"/>
      <c r="G525" s="47">
        <f>G526</f>
        <v>2000</v>
      </c>
    </row>
    <row r="526" spans="1:7" ht="30" x14ac:dyDescent="0.2">
      <c r="A526" s="20" t="s">
        <v>112</v>
      </c>
      <c r="B526" s="3" t="s">
        <v>289</v>
      </c>
      <c r="C526" s="23" t="s">
        <v>21</v>
      </c>
      <c r="D526" s="23" t="s">
        <v>6</v>
      </c>
      <c r="E526" s="57" t="s">
        <v>194</v>
      </c>
      <c r="F526" s="23" t="s">
        <v>107</v>
      </c>
      <c r="G526" s="47">
        <v>2000</v>
      </c>
    </row>
    <row r="527" spans="1:7" ht="30" x14ac:dyDescent="0.2">
      <c r="A527" s="20" t="s">
        <v>195</v>
      </c>
      <c r="B527" s="3" t="s">
        <v>289</v>
      </c>
      <c r="C527" s="23" t="s">
        <v>21</v>
      </c>
      <c r="D527" s="23" t="s">
        <v>6</v>
      </c>
      <c r="E527" s="57" t="s">
        <v>196</v>
      </c>
      <c r="F527" s="23"/>
      <c r="G527" s="47">
        <f>G528</f>
        <v>133373.70000000001</v>
      </c>
    </row>
    <row r="528" spans="1:7" ht="30" x14ac:dyDescent="0.2">
      <c r="A528" s="20" t="s">
        <v>112</v>
      </c>
      <c r="B528" s="3" t="s">
        <v>289</v>
      </c>
      <c r="C528" s="19" t="s">
        <v>21</v>
      </c>
      <c r="D528" s="19" t="s">
        <v>6</v>
      </c>
      <c r="E528" s="57" t="s">
        <v>196</v>
      </c>
      <c r="F528" s="23" t="s">
        <v>107</v>
      </c>
      <c r="G528" s="28">
        <f>129147-1229.2+50.4+5405.5</f>
        <v>133373.70000000001</v>
      </c>
    </row>
    <row r="529" spans="1:7" ht="30" x14ac:dyDescent="0.2">
      <c r="A529" s="20" t="s">
        <v>197</v>
      </c>
      <c r="B529" s="3" t="s">
        <v>289</v>
      </c>
      <c r="C529" s="19" t="s">
        <v>21</v>
      </c>
      <c r="D529" s="19" t="s">
        <v>6</v>
      </c>
      <c r="E529" s="57" t="s">
        <v>198</v>
      </c>
      <c r="F529" s="19"/>
      <c r="G529" s="28">
        <f>G530+G533</f>
        <v>401121.5</v>
      </c>
    </row>
    <row r="530" spans="1:7" ht="30" x14ac:dyDescent="0.2">
      <c r="A530" s="20" t="s">
        <v>199</v>
      </c>
      <c r="B530" s="3" t="s">
        <v>289</v>
      </c>
      <c r="C530" s="19" t="s">
        <v>21</v>
      </c>
      <c r="D530" s="19" t="s">
        <v>6</v>
      </c>
      <c r="E530" s="57" t="s">
        <v>200</v>
      </c>
      <c r="F530" s="19"/>
      <c r="G530" s="28">
        <f>G531</f>
        <v>354398</v>
      </c>
    </row>
    <row r="531" spans="1:7" ht="30" x14ac:dyDescent="0.2">
      <c r="A531" s="20" t="s">
        <v>201</v>
      </c>
      <c r="B531" s="3" t="s">
        <v>289</v>
      </c>
      <c r="C531" s="19" t="s">
        <v>21</v>
      </c>
      <c r="D531" s="19" t="s">
        <v>6</v>
      </c>
      <c r="E531" s="57" t="s">
        <v>202</v>
      </c>
      <c r="F531" s="19"/>
      <c r="G531" s="28">
        <f>G532</f>
        <v>354398</v>
      </c>
    </row>
    <row r="532" spans="1:7" ht="30" x14ac:dyDescent="0.2">
      <c r="A532" s="20" t="s">
        <v>112</v>
      </c>
      <c r="B532" s="3" t="s">
        <v>289</v>
      </c>
      <c r="C532" s="19" t="s">
        <v>21</v>
      </c>
      <c r="D532" s="19" t="s">
        <v>6</v>
      </c>
      <c r="E532" s="57" t="s">
        <v>202</v>
      </c>
      <c r="F532" s="19" t="s">
        <v>107</v>
      </c>
      <c r="G532" s="28">
        <f>310453+24899.1-3662.1+2254.7+19019.1+1434.2</f>
        <v>354398</v>
      </c>
    </row>
    <row r="533" spans="1:7" x14ac:dyDescent="0.2">
      <c r="A533" s="20" t="s">
        <v>203</v>
      </c>
      <c r="B533" s="3" t="s">
        <v>289</v>
      </c>
      <c r="C533" s="19" t="s">
        <v>21</v>
      </c>
      <c r="D533" s="19" t="s">
        <v>6</v>
      </c>
      <c r="E533" s="57" t="s">
        <v>204</v>
      </c>
      <c r="F533" s="19"/>
      <c r="G533" s="28">
        <f>G534</f>
        <v>46723.5</v>
      </c>
    </row>
    <row r="534" spans="1:7" ht="30" x14ac:dyDescent="0.2">
      <c r="A534" s="20" t="s">
        <v>205</v>
      </c>
      <c r="B534" s="3" t="s">
        <v>289</v>
      </c>
      <c r="C534" s="19" t="s">
        <v>21</v>
      </c>
      <c r="D534" s="19" t="s">
        <v>6</v>
      </c>
      <c r="E534" s="57" t="s">
        <v>206</v>
      </c>
      <c r="F534" s="19"/>
      <c r="G534" s="28">
        <f>G535</f>
        <v>46723.5</v>
      </c>
    </row>
    <row r="535" spans="1:7" ht="30" x14ac:dyDescent="0.2">
      <c r="A535" s="20" t="s">
        <v>112</v>
      </c>
      <c r="B535" s="3" t="s">
        <v>289</v>
      </c>
      <c r="C535" s="19" t="s">
        <v>21</v>
      </c>
      <c r="D535" s="19" t="s">
        <v>6</v>
      </c>
      <c r="E535" s="57" t="s">
        <v>206</v>
      </c>
      <c r="F535" s="19" t="s">
        <v>107</v>
      </c>
      <c r="G535" s="28">
        <f>41802-227.5+3611.7+1537.3</f>
        <v>46723.5</v>
      </c>
    </row>
    <row r="536" spans="1:7" x14ac:dyDescent="0.2">
      <c r="A536" s="20" t="s">
        <v>162</v>
      </c>
      <c r="B536" s="3" t="s">
        <v>289</v>
      </c>
      <c r="C536" s="19" t="s">
        <v>21</v>
      </c>
      <c r="D536" s="19" t="s">
        <v>6</v>
      </c>
      <c r="E536" s="19" t="s">
        <v>163</v>
      </c>
      <c r="F536" s="19"/>
      <c r="G536" s="28">
        <f>G537+G540+G545+G548+G551</f>
        <v>7483</v>
      </c>
    </row>
    <row r="537" spans="1:7" ht="45" x14ac:dyDescent="0.2">
      <c r="A537" s="45" t="s">
        <v>207</v>
      </c>
      <c r="B537" s="3" t="s">
        <v>289</v>
      </c>
      <c r="C537" s="3" t="s">
        <v>21</v>
      </c>
      <c r="D537" s="3" t="s">
        <v>6</v>
      </c>
      <c r="E537" s="19" t="s">
        <v>179</v>
      </c>
      <c r="F537" s="3"/>
      <c r="G537" s="32">
        <f>G538</f>
        <v>1000</v>
      </c>
    </row>
    <row r="538" spans="1:7" ht="30" x14ac:dyDescent="0.2">
      <c r="A538" s="20" t="s">
        <v>208</v>
      </c>
      <c r="B538" s="3" t="s">
        <v>289</v>
      </c>
      <c r="C538" s="3" t="s">
        <v>21</v>
      </c>
      <c r="D538" s="3" t="s">
        <v>6</v>
      </c>
      <c r="E538" s="19" t="s">
        <v>209</v>
      </c>
      <c r="F538" s="3"/>
      <c r="G538" s="32">
        <f>G539</f>
        <v>1000</v>
      </c>
    </row>
    <row r="539" spans="1:7" ht="30" x14ac:dyDescent="0.2">
      <c r="A539" s="20" t="s">
        <v>112</v>
      </c>
      <c r="B539" s="3" t="s">
        <v>289</v>
      </c>
      <c r="C539" s="3" t="s">
        <v>21</v>
      </c>
      <c r="D539" s="3" t="s">
        <v>6</v>
      </c>
      <c r="E539" s="19" t="s">
        <v>209</v>
      </c>
      <c r="F539" s="3" t="s">
        <v>107</v>
      </c>
      <c r="G539" s="32">
        <v>1000</v>
      </c>
    </row>
    <row r="540" spans="1:7" ht="30" x14ac:dyDescent="0.2">
      <c r="A540" s="20" t="s">
        <v>210</v>
      </c>
      <c r="B540" s="3" t="s">
        <v>289</v>
      </c>
      <c r="C540" s="3" t="s">
        <v>21</v>
      </c>
      <c r="D540" s="3" t="s">
        <v>6</v>
      </c>
      <c r="E540" s="19" t="s">
        <v>211</v>
      </c>
      <c r="F540" s="3"/>
      <c r="G540" s="32">
        <f>G541+G543</f>
        <v>2425.5</v>
      </c>
    </row>
    <row r="541" spans="1:7" x14ac:dyDescent="0.2">
      <c r="A541" s="20" t="s">
        <v>212</v>
      </c>
      <c r="B541" s="3" t="s">
        <v>289</v>
      </c>
      <c r="C541" s="3" t="s">
        <v>21</v>
      </c>
      <c r="D541" s="3" t="s">
        <v>6</v>
      </c>
      <c r="E541" s="19" t="s">
        <v>213</v>
      </c>
      <c r="F541" s="3"/>
      <c r="G541" s="32">
        <f>G542</f>
        <v>2205.5</v>
      </c>
    </row>
    <row r="542" spans="1:7" ht="30" x14ac:dyDescent="0.2">
      <c r="A542" s="44" t="s">
        <v>102</v>
      </c>
      <c r="B542" s="3" t="s">
        <v>289</v>
      </c>
      <c r="C542" s="3" t="s">
        <v>21</v>
      </c>
      <c r="D542" s="3" t="s">
        <v>6</v>
      </c>
      <c r="E542" s="19" t="s">
        <v>213</v>
      </c>
      <c r="F542" s="3" t="s">
        <v>101</v>
      </c>
      <c r="G542" s="32">
        <f>2185.5+20</f>
        <v>2205.5</v>
      </c>
    </row>
    <row r="543" spans="1:7" ht="30" x14ac:dyDescent="0.2">
      <c r="A543" s="44" t="s">
        <v>347</v>
      </c>
      <c r="B543" s="3" t="s">
        <v>289</v>
      </c>
      <c r="C543" s="3" t="s">
        <v>21</v>
      </c>
      <c r="D543" s="3" t="s">
        <v>6</v>
      </c>
      <c r="E543" s="19" t="s">
        <v>348</v>
      </c>
      <c r="F543" s="3"/>
      <c r="G543" s="32">
        <f>G544</f>
        <v>220</v>
      </c>
    </row>
    <row r="544" spans="1:7" x14ac:dyDescent="0.2">
      <c r="A544" s="9" t="s">
        <v>111</v>
      </c>
      <c r="B544" s="3" t="s">
        <v>289</v>
      </c>
      <c r="C544" s="3" t="s">
        <v>21</v>
      </c>
      <c r="D544" s="3" t="s">
        <v>6</v>
      </c>
      <c r="E544" s="19" t="s">
        <v>348</v>
      </c>
      <c r="F544" s="3" t="s">
        <v>105</v>
      </c>
      <c r="G544" s="32">
        <f>240-20</f>
        <v>220</v>
      </c>
    </row>
    <row r="545" spans="1:7" ht="30" x14ac:dyDescent="0.2">
      <c r="A545" s="20" t="s">
        <v>214</v>
      </c>
      <c r="B545" s="3" t="s">
        <v>289</v>
      </c>
      <c r="C545" s="3" t="s">
        <v>21</v>
      </c>
      <c r="D545" s="3" t="s">
        <v>6</v>
      </c>
      <c r="E545" s="19" t="s">
        <v>215</v>
      </c>
      <c r="F545" s="3"/>
      <c r="G545" s="32">
        <f>G546</f>
        <v>3877.9</v>
      </c>
    </row>
    <row r="546" spans="1:7" ht="45" x14ac:dyDescent="0.2">
      <c r="A546" s="20" t="s">
        <v>346</v>
      </c>
      <c r="B546" s="3" t="s">
        <v>289</v>
      </c>
      <c r="C546" s="3" t="s">
        <v>21</v>
      </c>
      <c r="D546" s="3" t="s">
        <v>6</v>
      </c>
      <c r="E546" s="19" t="s">
        <v>216</v>
      </c>
      <c r="F546" s="3"/>
      <c r="G546" s="32">
        <f>G547</f>
        <v>3877.9</v>
      </c>
    </row>
    <row r="547" spans="1:7" ht="30" x14ac:dyDescent="0.2">
      <c r="A547" s="20" t="s">
        <v>112</v>
      </c>
      <c r="B547" s="3" t="s">
        <v>289</v>
      </c>
      <c r="C547" s="3" t="s">
        <v>21</v>
      </c>
      <c r="D547" s="3" t="s">
        <v>6</v>
      </c>
      <c r="E547" s="19" t="s">
        <v>216</v>
      </c>
      <c r="F547" s="3" t="s">
        <v>107</v>
      </c>
      <c r="G547" s="32">
        <f>97+780.9+3000</f>
        <v>3877.9</v>
      </c>
    </row>
    <row r="548" spans="1:7" ht="30" x14ac:dyDescent="0.2">
      <c r="A548" s="20" t="s">
        <v>574</v>
      </c>
      <c r="B548" s="3" t="s">
        <v>289</v>
      </c>
      <c r="C548" s="3" t="s">
        <v>21</v>
      </c>
      <c r="D548" s="3" t="s">
        <v>6</v>
      </c>
      <c r="E548" s="19" t="s">
        <v>578</v>
      </c>
      <c r="F548" s="3"/>
      <c r="G548" s="32">
        <f>G549</f>
        <v>10.8</v>
      </c>
    </row>
    <row r="549" spans="1:7" ht="45" x14ac:dyDescent="0.2">
      <c r="A549" s="20" t="s">
        <v>575</v>
      </c>
      <c r="B549" s="3" t="s">
        <v>289</v>
      </c>
      <c r="C549" s="3" t="s">
        <v>21</v>
      </c>
      <c r="D549" s="3" t="s">
        <v>6</v>
      </c>
      <c r="E549" s="19" t="s">
        <v>579</v>
      </c>
      <c r="F549" s="3"/>
      <c r="G549" s="32">
        <f>G550</f>
        <v>10.8</v>
      </c>
    </row>
    <row r="550" spans="1:7" ht="30" x14ac:dyDescent="0.2">
      <c r="A550" s="20" t="s">
        <v>112</v>
      </c>
      <c r="B550" s="3" t="s">
        <v>289</v>
      </c>
      <c r="C550" s="3" t="s">
        <v>21</v>
      </c>
      <c r="D550" s="3" t="s">
        <v>6</v>
      </c>
      <c r="E550" s="19" t="s">
        <v>579</v>
      </c>
      <c r="F550" s="3" t="s">
        <v>107</v>
      </c>
      <c r="G550" s="32">
        <v>10.8</v>
      </c>
    </row>
    <row r="551" spans="1:7" ht="45" x14ac:dyDescent="0.2">
      <c r="A551" s="20" t="s">
        <v>576</v>
      </c>
      <c r="B551" s="3" t="s">
        <v>289</v>
      </c>
      <c r="C551" s="3" t="s">
        <v>21</v>
      </c>
      <c r="D551" s="3" t="s">
        <v>6</v>
      </c>
      <c r="E551" s="19" t="s">
        <v>580</v>
      </c>
      <c r="F551" s="3"/>
      <c r="G551" s="32">
        <f>G552</f>
        <v>168.8</v>
      </c>
    </row>
    <row r="552" spans="1:7" ht="45" x14ac:dyDescent="0.2">
      <c r="A552" s="20" t="s">
        <v>577</v>
      </c>
      <c r="B552" s="3" t="s">
        <v>289</v>
      </c>
      <c r="C552" s="3" t="s">
        <v>21</v>
      </c>
      <c r="D552" s="3" t="s">
        <v>6</v>
      </c>
      <c r="E552" s="19" t="s">
        <v>581</v>
      </c>
      <c r="F552" s="3"/>
      <c r="G552" s="32">
        <f>G553</f>
        <v>168.8</v>
      </c>
    </row>
    <row r="553" spans="1:7" ht="30" x14ac:dyDescent="0.2">
      <c r="A553" s="20" t="s">
        <v>112</v>
      </c>
      <c r="B553" s="3" t="s">
        <v>289</v>
      </c>
      <c r="C553" s="3" t="s">
        <v>21</v>
      </c>
      <c r="D553" s="3" t="s">
        <v>6</v>
      </c>
      <c r="E553" s="19" t="s">
        <v>581</v>
      </c>
      <c r="F553" s="3" t="s">
        <v>107</v>
      </c>
      <c r="G553" s="32">
        <v>168.8</v>
      </c>
    </row>
    <row r="554" spans="1:7" ht="30" x14ac:dyDescent="0.2">
      <c r="A554" s="20" t="s">
        <v>745</v>
      </c>
      <c r="B554" s="3" t="s">
        <v>289</v>
      </c>
      <c r="C554" s="3" t="s">
        <v>21</v>
      </c>
      <c r="D554" s="3" t="s">
        <v>6</v>
      </c>
      <c r="E554" s="19" t="s">
        <v>748</v>
      </c>
      <c r="F554" s="3"/>
      <c r="G554" s="32">
        <f>G555</f>
        <v>142128.79999999999</v>
      </c>
    </row>
    <row r="555" spans="1:7" ht="60" x14ac:dyDescent="0.2">
      <c r="A555" s="20" t="s">
        <v>746</v>
      </c>
      <c r="B555" s="3" t="s">
        <v>289</v>
      </c>
      <c r="C555" s="3" t="s">
        <v>21</v>
      </c>
      <c r="D555" s="3" t="s">
        <v>6</v>
      </c>
      <c r="E555" s="19" t="s">
        <v>749</v>
      </c>
      <c r="F555" s="3"/>
      <c r="G555" s="32">
        <f>G556</f>
        <v>142128.79999999999</v>
      </c>
    </row>
    <row r="556" spans="1:7" x14ac:dyDescent="0.2">
      <c r="A556" s="20" t="s">
        <v>747</v>
      </c>
      <c r="B556" s="3" t="s">
        <v>289</v>
      </c>
      <c r="C556" s="3" t="s">
        <v>21</v>
      </c>
      <c r="D556" s="3" t="s">
        <v>6</v>
      </c>
      <c r="E556" s="19" t="s">
        <v>750</v>
      </c>
      <c r="F556" s="3"/>
      <c r="G556" s="32">
        <f>G557+G558+G559</f>
        <v>142128.79999999999</v>
      </c>
    </row>
    <row r="557" spans="1:7" ht="30" x14ac:dyDescent="0.2">
      <c r="A557" s="44" t="s">
        <v>102</v>
      </c>
      <c r="B557" s="3" t="s">
        <v>289</v>
      </c>
      <c r="C557" s="3" t="s">
        <v>21</v>
      </c>
      <c r="D557" s="3" t="s">
        <v>6</v>
      </c>
      <c r="E557" s="19" t="s">
        <v>750</v>
      </c>
      <c r="F557" s="3" t="s">
        <v>101</v>
      </c>
      <c r="G557" s="32">
        <f>55805.1+42764</f>
        <v>98569.1</v>
      </c>
    </row>
    <row r="558" spans="1:7" ht="30" x14ac:dyDescent="0.2">
      <c r="A558" s="20" t="s">
        <v>112</v>
      </c>
      <c r="B558" s="3" t="s">
        <v>289</v>
      </c>
      <c r="C558" s="3" t="s">
        <v>21</v>
      </c>
      <c r="D558" s="3" t="s">
        <v>6</v>
      </c>
      <c r="E558" s="19" t="s">
        <v>750</v>
      </c>
      <c r="F558" s="3" t="s">
        <v>107</v>
      </c>
      <c r="G558" s="32">
        <v>7278</v>
      </c>
    </row>
    <row r="559" spans="1:7" x14ac:dyDescent="0.2">
      <c r="A559" s="44" t="s">
        <v>109</v>
      </c>
      <c r="B559" s="3" t="s">
        <v>289</v>
      </c>
      <c r="C559" s="3" t="s">
        <v>21</v>
      </c>
      <c r="D559" s="3" t="s">
        <v>6</v>
      </c>
      <c r="E559" s="19" t="s">
        <v>750</v>
      </c>
      <c r="F559" s="3" t="s">
        <v>104</v>
      </c>
      <c r="G559" s="32">
        <v>36281.699999999997</v>
      </c>
    </row>
    <row r="560" spans="1:7" x14ac:dyDescent="0.2">
      <c r="A560" s="9" t="s">
        <v>115</v>
      </c>
      <c r="B560" s="3" t="s">
        <v>289</v>
      </c>
      <c r="C560" s="3" t="s">
        <v>21</v>
      </c>
      <c r="D560" s="3" t="s">
        <v>6</v>
      </c>
      <c r="E560" s="3" t="s">
        <v>122</v>
      </c>
      <c r="F560" s="19"/>
      <c r="G560" s="8">
        <f>G561+G563</f>
        <v>59513.899999999994</v>
      </c>
    </row>
    <row r="561" spans="1:7" ht="45" x14ac:dyDescent="0.2">
      <c r="A561" s="44" t="s">
        <v>796</v>
      </c>
      <c r="B561" s="3" t="s">
        <v>289</v>
      </c>
      <c r="C561" s="3" t="s">
        <v>21</v>
      </c>
      <c r="D561" s="3" t="s">
        <v>6</v>
      </c>
      <c r="E561" s="19" t="s">
        <v>723</v>
      </c>
      <c r="F561" s="3"/>
      <c r="G561" s="32">
        <f>G562</f>
        <v>43336.7</v>
      </c>
    </row>
    <row r="562" spans="1:7" ht="30" x14ac:dyDescent="0.2">
      <c r="A562" s="20" t="s">
        <v>112</v>
      </c>
      <c r="B562" s="3" t="s">
        <v>289</v>
      </c>
      <c r="C562" s="3" t="s">
        <v>21</v>
      </c>
      <c r="D562" s="3" t="s">
        <v>6</v>
      </c>
      <c r="E562" s="19" t="s">
        <v>723</v>
      </c>
      <c r="F562" s="3" t="s">
        <v>107</v>
      </c>
      <c r="G562" s="32">
        <v>43336.7</v>
      </c>
    </row>
    <row r="563" spans="1:7" ht="30" x14ac:dyDescent="0.2">
      <c r="A563" s="44" t="s">
        <v>100</v>
      </c>
      <c r="B563" s="3" t="s">
        <v>289</v>
      </c>
      <c r="C563" s="3" t="s">
        <v>21</v>
      </c>
      <c r="D563" s="3" t="s">
        <v>6</v>
      </c>
      <c r="E563" s="19" t="s">
        <v>126</v>
      </c>
      <c r="F563" s="3"/>
      <c r="G563" s="32">
        <f>G564</f>
        <v>16177.2</v>
      </c>
    </row>
    <row r="564" spans="1:7" ht="45" x14ac:dyDescent="0.2">
      <c r="A564" s="44" t="s">
        <v>751</v>
      </c>
      <c r="B564" s="3" t="s">
        <v>289</v>
      </c>
      <c r="C564" s="3" t="s">
        <v>21</v>
      </c>
      <c r="D564" s="3" t="s">
        <v>6</v>
      </c>
      <c r="E564" s="19" t="s">
        <v>752</v>
      </c>
      <c r="F564" s="3"/>
      <c r="G564" s="32">
        <f>G565</f>
        <v>16177.2</v>
      </c>
    </row>
    <row r="565" spans="1:7" ht="30" x14ac:dyDescent="0.2">
      <c r="A565" s="44" t="s">
        <v>102</v>
      </c>
      <c r="B565" s="3" t="s">
        <v>289</v>
      </c>
      <c r="C565" s="3" t="s">
        <v>21</v>
      </c>
      <c r="D565" s="3" t="s">
        <v>6</v>
      </c>
      <c r="E565" s="19" t="s">
        <v>752</v>
      </c>
      <c r="F565" s="3" t="s">
        <v>101</v>
      </c>
      <c r="G565" s="32">
        <v>16177.2</v>
      </c>
    </row>
    <row r="566" spans="1:7" x14ac:dyDescent="0.2">
      <c r="A566" s="1" t="s">
        <v>217</v>
      </c>
      <c r="B566" s="3" t="s">
        <v>289</v>
      </c>
      <c r="C566" s="3" t="s">
        <v>21</v>
      </c>
      <c r="D566" s="3" t="s">
        <v>7</v>
      </c>
      <c r="E566" s="3"/>
      <c r="F566" s="3"/>
      <c r="G566" s="32">
        <f>G567</f>
        <v>19940.8</v>
      </c>
    </row>
    <row r="567" spans="1:7" ht="30" x14ac:dyDescent="0.2">
      <c r="A567" s="44" t="s">
        <v>551</v>
      </c>
      <c r="B567" s="3" t="s">
        <v>289</v>
      </c>
      <c r="C567" s="23" t="s">
        <v>21</v>
      </c>
      <c r="D567" s="23" t="s">
        <v>7</v>
      </c>
      <c r="E567" s="19" t="s">
        <v>161</v>
      </c>
      <c r="F567" s="23"/>
      <c r="G567" s="47">
        <f>G568</f>
        <v>19940.8</v>
      </c>
    </row>
    <row r="568" spans="1:7" x14ac:dyDescent="0.2">
      <c r="A568" s="20" t="s">
        <v>162</v>
      </c>
      <c r="B568" s="3" t="s">
        <v>289</v>
      </c>
      <c r="C568" s="23" t="s">
        <v>21</v>
      </c>
      <c r="D568" s="23" t="s">
        <v>7</v>
      </c>
      <c r="E568" s="19" t="s">
        <v>163</v>
      </c>
      <c r="F568" s="23"/>
      <c r="G568" s="47">
        <f>G569</f>
        <v>19940.8</v>
      </c>
    </row>
    <row r="569" spans="1:7" ht="30" x14ac:dyDescent="0.2">
      <c r="A569" s="44" t="s">
        <v>218</v>
      </c>
      <c r="B569" s="3" t="s">
        <v>289</v>
      </c>
      <c r="C569" s="23" t="s">
        <v>21</v>
      </c>
      <c r="D569" s="23" t="s">
        <v>7</v>
      </c>
      <c r="E569" s="19" t="s">
        <v>164</v>
      </c>
      <c r="F569" s="19"/>
      <c r="G569" s="28">
        <f>G570</f>
        <v>19940.8</v>
      </c>
    </row>
    <row r="570" spans="1:7" x14ac:dyDescent="0.2">
      <c r="A570" s="44" t="s">
        <v>219</v>
      </c>
      <c r="B570" s="3" t="s">
        <v>289</v>
      </c>
      <c r="C570" s="23" t="s">
        <v>21</v>
      </c>
      <c r="D570" s="23" t="s">
        <v>7</v>
      </c>
      <c r="E570" s="19" t="s">
        <v>220</v>
      </c>
      <c r="F570" s="19"/>
      <c r="G570" s="28">
        <f>G571+G572</f>
        <v>19940.8</v>
      </c>
    </row>
    <row r="571" spans="1:7" ht="60" x14ac:dyDescent="0.2">
      <c r="A571" s="44" t="s">
        <v>108</v>
      </c>
      <c r="B571" s="3" t="s">
        <v>289</v>
      </c>
      <c r="C571" s="23" t="s">
        <v>21</v>
      </c>
      <c r="D571" s="23" t="s">
        <v>7</v>
      </c>
      <c r="E571" s="19" t="s">
        <v>220</v>
      </c>
      <c r="F571" s="19" t="s">
        <v>103</v>
      </c>
      <c r="G571" s="28">
        <f>11929.3+1515.8+2026+2599.8</f>
        <v>18070.899999999998</v>
      </c>
    </row>
    <row r="572" spans="1:7" ht="30" x14ac:dyDescent="0.2">
      <c r="A572" s="44" t="s">
        <v>102</v>
      </c>
      <c r="B572" s="3" t="s">
        <v>289</v>
      </c>
      <c r="C572" s="23" t="s">
        <v>21</v>
      </c>
      <c r="D572" s="23" t="s">
        <v>7</v>
      </c>
      <c r="E572" s="19" t="s">
        <v>220</v>
      </c>
      <c r="F572" s="19" t="s">
        <v>101</v>
      </c>
      <c r="G572" s="28">
        <v>1869.9</v>
      </c>
    </row>
    <row r="573" spans="1:7" x14ac:dyDescent="0.2">
      <c r="A573" s="20"/>
      <c r="B573" s="3"/>
      <c r="C573" s="3"/>
      <c r="D573" s="3"/>
      <c r="E573" s="3"/>
      <c r="F573" s="3"/>
      <c r="G573" s="32"/>
    </row>
    <row r="574" spans="1:7" ht="42.75" x14ac:dyDescent="0.2">
      <c r="A574" s="6" t="s">
        <v>78</v>
      </c>
      <c r="B574" s="7" t="s">
        <v>290</v>
      </c>
      <c r="C574" s="7"/>
      <c r="D574" s="7"/>
      <c r="E574" s="7"/>
      <c r="F574" s="7"/>
      <c r="G574" s="79">
        <f>G575+G589+G713</f>
        <v>13156045.100000003</v>
      </c>
    </row>
    <row r="575" spans="1:7" x14ac:dyDescent="0.2">
      <c r="A575" s="1" t="s">
        <v>5</v>
      </c>
      <c r="B575" s="3" t="s">
        <v>290</v>
      </c>
      <c r="C575" s="3" t="s">
        <v>6</v>
      </c>
      <c r="D575" s="3"/>
      <c r="E575" s="7"/>
      <c r="F575" s="7"/>
      <c r="G575" s="15">
        <f>G576</f>
        <v>35705.299999999996</v>
      </c>
    </row>
    <row r="576" spans="1:7" ht="45" x14ac:dyDescent="0.2">
      <c r="A576" s="9" t="s">
        <v>26</v>
      </c>
      <c r="B576" s="3" t="s">
        <v>290</v>
      </c>
      <c r="C576" s="10" t="s">
        <v>6</v>
      </c>
      <c r="D576" s="10" t="s">
        <v>7</v>
      </c>
      <c r="E576" s="11"/>
      <c r="F576" s="10"/>
      <c r="G576" s="31">
        <f>G577+G582</f>
        <v>35705.299999999996</v>
      </c>
    </row>
    <row r="577" spans="1:7" ht="30" x14ac:dyDescent="0.25">
      <c r="A577" s="70" t="s">
        <v>502</v>
      </c>
      <c r="B577" s="3" t="s">
        <v>290</v>
      </c>
      <c r="C577" s="55" t="s">
        <v>6</v>
      </c>
      <c r="D577" s="55" t="s">
        <v>7</v>
      </c>
      <c r="E577" s="23" t="s">
        <v>221</v>
      </c>
      <c r="F577" s="23"/>
      <c r="G577" s="31">
        <f>G578</f>
        <v>3948.7</v>
      </c>
    </row>
    <row r="578" spans="1:7" ht="45" x14ac:dyDescent="0.25">
      <c r="A578" s="70" t="s">
        <v>503</v>
      </c>
      <c r="B578" s="3" t="s">
        <v>290</v>
      </c>
      <c r="C578" s="55" t="s">
        <v>6</v>
      </c>
      <c r="D578" s="55" t="s">
        <v>7</v>
      </c>
      <c r="E578" s="10" t="s">
        <v>222</v>
      </c>
      <c r="F578" s="10"/>
      <c r="G578" s="31">
        <f>G579</f>
        <v>3948.7</v>
      </c>
    </row>
    <row r="579" spans="1:7" ht="90" x14ac:dyDescent="0.2">
      <c r="A579" s="71" t="s">
        <v>504</v>
      </c>
      <c r="B579" s="3" t="s">
        <v>290</v>
      </c>
      <c r="C579" s="55" t="s">
        <v>6</v>
      </c>
      <c r="D579" s="55" t="s">
        <v>7</v>
      </c>
      <c r="E579" s="10" t="s">
        <v>224</v>
      </c>
      <c r="F579" s="10"/>
      <c r="G579" s="31">
        <f>G580</f>
        <v>3948.7</v>
      </c>
    </row>
    <row r="580" spans="1:7" x14ac:dyDescent="0.2">
      <c r="A580" s="9" t="s">
        <v>60</v>
      </c>
      <c r="B580" s="3" t="s">
        <v>290</v>
      </c>
      <c r="C580" s="55" t="s">
        <v>6</v>
      </c>
      <c r="D580" s="55" t="s">
        <v>7</v>
      </c>
      <c r="E580" s="10" t="s">
        <v>225</v>
      </c>
      <c r="F580" s="10"/>
      <c r="G580" s="31">
        <f>G581</f>
        <v>3948.7</v>
      </c>
    </row>
    <row r="581" spans="1:7" ht="60" x14ac:dyDescent="0.2">
      <c r="A581" s="44" t="s">
        <v>108</v>
      </c>
      <c r="B581" s="3" t="s">
        <v>290</v>
      </c>
      <c r="C581" s="55" t="s">
        <v>6</v>
      </c>
      <c r="D581" s="55" t="s">
        <v>7</v>
      </c>
      <c r="E581" s="10" t="s">
        <v>225</v>
      </c>
      <c r="F581" s="23" t="s">
        <v>103</v>
      </c>
      <c r="G581" s="31">
        <f>3117.6+831.1</f>
        <v>3948.7</v>
      </c>
    </row>
    <row r="582" spans="1:7" ht="30" x14ac:dyDescent="0.2">
      <c r="A582" s="56" t="s">
        <v>550</v>
      </c>
      <c r="B582" s="3" t="s">
        <v>290</v>
      </c>
      <c r="C582" s="55" t="s">
        <v>6</v>
      </c>
      <c r="D582" s="55" t="s">
        <v>7</v>
      </c>
      <c r="E582" s="23" t="s">
        <v>221</v>
      </c>
      <c r="F582" s="23"/>
      <c r="G582" s="31">
        <f>G583</f>
        <v>31756.6</v>
      </c>
    </row>
    <row r="583" spans="1:7" x14ac:dyDescent="0.2">
      <c r="A583" s="9" t="s">
        <v>226</v>
      </c>
      <c r="B583" s="3" t="s">
        <v>290</v>
      </c>
      <c r="C583" s="55" t="s">
        <v>6</v>
      </c>
      <c r="D583" s="55" t="s">
        <v>7</v>
      </c>
      <c r="E583" s="10" t="s">
        <v>227</v>
      </c>
      <c r="F583" s="10"/>
      <c r="G583" s="31">
        <f>G584</f>
        <v>31756.6</v>
      </c>
    </row>
    <row r="584" spans="1:7" ht="30" x14ac:dyDescent="0.2">
      <c r="A584" s="44" t="s">
        <v>349</v>
      </c>
      <c r="B584" s="3" t="s">
        <v>290</v>
      </c>
      <c r="C584" s="55" t="s">
        <v>6</v>
      </c>
      <c r="D584" s="55" t="s">
        <v>7</v>
      </c>
      <c r="E584" s="10" t="s">
        <v>228</v>
      </c>
      <c r="F584" s="10"/>
      <c r="G584" s="31">
        <f>G585</f>
        <v>31756.6</v>
      </c>
    </row>
    <row r="585" spans="1:7" x14ac:dyDescent="0.2">
      <c r="A585" s="9" t="s">
        <v>8</v>
      </c>
      <c r="B585" s="3" t="s">
        <v>290</v>
      </c>
      <c r="C585" s="55" t="s">
        <v>6</v>
      </c>
      <c r="D585" s="55" t="s">
        <v>7</v>
      </c>
      <c r="E585" s="10" t="s">
        <v>229</v>
      </c>
      <c r="F585" s="10"/>
      <c r="G585" s="31">
        <f>SUM(G586:G588)</f>
        <v>31756.6</v>
      </c>
    </row>
    <row r="586" spans="1:7" ht="60" x14ac:dyDescent="0.2">
      <c r="A586" s="44" t="s">
        <v>108</v>
      </c>
      <c r="B586" s="3" t="s">
        <v>290</v>
      </c>
      <c r="C586" s="55" t="s">
        <v>6</v>
      </c>
      <c r="D586" s="55" t="s">
        <v>7</v>
      </c>
      <c r="E586" s="10" t="s">
        <v>229</v>
      </c>
      <c r="F586" s="10" t="s">
        <v>103</v>
      </c>
      <c r="G586" s="31">
        <f>20054+3622.4+5814.6+1859.6</f>
        <v>31350.6</v>
      </c>
    </row>
    <row r="587" spans="1:7" ht="30" x14ac:dyDescent="0.2">
      <c r="A587" s="44" t="s">
        <v>102</v>
      </c>
      <c r="B587" s="3" t="s">
        <v>290</v>
      </c>
      <c r="C587" s="55" t="s">
        <v>6</v>
      </c>
      <c r="D587" s="55" t="s">
        <v>7</v>
      </c>
      <c r="E587" s="10" t="s">
        <v>229</v>
      </c>
      <c r="F587" s="10" t="s">
        <v>101</v>
      </c>
      <c r="G587" s="31">
        <v>387.4</v>
      </c>
    </row>
    <row r="588" spans="1:7" x14ac:dyDescent="0.2">
      <c r="A588" s="44" t="s">
        <v>109</v>
      </c>
      <c r="B588" s="3" t="s">
        <v>290</v>
      </c>
      <c r="C588" s="55" t="s">
        <v>6</v>
      </c>
      <c r="D588" s="55" t="s">
        <v>7</v>
      </c>
      <c r="E588" s="10" t="s">
        <v>229</v>
      </c>
      <c r="F588" s="10" t="s">
        <v>104</v>
      </c>
      <c r="G588" s="31">
        <v>18.600000000000001</v>
      </c>
    </row>
    <row r="589" spans="1:7" x14ac:dyDescent="0.2">
      <c r="A589" s="1" t="s">
        <v>29</v>
      </c>
      <c r="B589" s="3" t="s">
        <v>290</v>
      </c>
      <c r="C589" s="3" t="s">
        <v>30</v>
      </c>
      <c r="D589" s="3"/>
      <c r="E589" s="3"/>
      <c r="F589" s="3"/>
      <c r="G589" s="32">
        <f>G590+G605+G633+G649+G641</f>
        <v>12570229.900000002</v>
      </c>
    </row>
    <row r="590" spans="1:7" x14ac:dyDescent="0.2">
      <c r="A590" s="1" t="s">
        <v>31</v>
      </c>
      <c r="B590" s="3" t="s">
        <v>290</v>
      </c>
      <c r="C590" s="3" t="s">
        <v>30</v>
      </c>
      <c r="D590" s="3" t="s">
        <v>6</v>
      </c>
      <c r="E590" s="3"/>
      <c r="F590" s="3"/>
      <c r="G590" s="32">
        <f>G591+G596</f>
        <v>4393336.3</v>
      </c>
    </row>
    <row r="591" spans="1:7" ht="30" x14ac:dyDescent="0.2">
      <c r="A591" s="71" t="s">
        <v>502</v>
      </c>
      <c r="B591" s="3" t="s">
        <v>290</v>
      </c>
      <c r="C591" s="19" t="s">
        <v>30</v>
      </c>
      <c r="D591" s="19" t="s">
        <v>6</v>
      </c>
      <c r="E591" s="57" t="s">
        <v>221</v>
      </c>
      <c r="F591" s="22"/>
      <c r="G591" s="32">
        <f>G592</f>
        <v>2116617.5</v>
      </c>
    </row>
    <row r="592" spans="1:7" ht="45" x14ac:dyDescent="0.2">
      <c r="A592" s="71" t="s">
        <v>505</v>
      </c>
      <c r="B592" s="3" t="s">
        <v>290</v>
      </c>
      <c r="C592" s="19" t="s">
        <v>30</v>
      </c>
      <c r="D592" s="19" t="s">
        <v>6</v>
      </c>
      <c r="E592" s="57" t="s">
        <v>231</v>
      </c>
      <c r="F592" s="22"/>
      <c r="G592" s="32">
        <f>G593</f>
        <v>2116617.5</v>
      </c>
    </row>
    <row r="593" spans="1:7" ht="60" x14ac:dyDescent="0.2">
      <c r="A593" s="56" t="s">
        <v>232</v>
      </c>
      <c r="B593" s="3" t="s">
        <v>290</v>
      </c>
      <c r="C593" s="19" t="s">
        <v>30</v>
      </c>
      <c r="D593" s="19" t="s">
        <v>6</v>
      </c>
      <c r="E593" s="57" t="s">
        <v>233</v>
      </c>
      <c r="F593" s="3"/>
      <c r="G593" s="32">
        <f>G594</f>
        <v>2116617.5</v>
      </c>
    </row>
    <row r="594" spans="1:7" ht="60" x14ac:dyDescent="0.2">
      <c r="A594" s="9" t="s">
        <v>113</v>
      </c>
      <c r="B594" s="3" t="s">
        <v>290</v>
      </c>
      <c r="C594" s="19" t="s">
        <v>30</v>
      </c>
      <c r="D594" s="19" t="s">
        <v>6</v>
      </c>
      <c r="E594" s="57" t="s">
        <v>234</v>
      </c>
      <c r="F594" s="3"/>
      <c r="G594" s="32">
        <f>G595</f>
        <v>2116617.5</v>
      </c>
    </row>
    <row r="595" spans="1:7" ht="30" x14ac:dyDescent="0.2">
      <c r="A595" s="20" t="s">
        <v>112</v>
      </c>
      <c r="B595" s="3" t="s">
        <v>290</v>
      </c>
      <c r="C595" s="19" t="s">
        <v>30</v>
      </c>
      <c r="D595" s="19" t="s">
        <v>6</v>
      </c>
      <c r="E595" s="57" t="s">
        <v>234</v>
      </c>
      <c r="F595" s="3" t="s">
        <v>107</v>
      </c>
      <c r="G595" s="32">
        <v>2116617.5</v>
      </c>
    </row>
    <row r="596" spans="1:7" ht="30" x14ac:dyDescent="0.2">
      <c r="A596" s="56" t="s">
        <v>550</v>
      </c>
      <c r="B596" s="3" t="s">
        <v>290</v>
      </c>
      <c r="C596" s="19" t="s">
        <v>30</v>
      </c>
      <c r="D596" s="19" t="s">
        <v>6</v>
      </c>
      <c r="E596" s="57" t="s">
        <v>221</v>
      </c>
      <c r="F596" s="19"/>
      <c r="G596" s="28">
        <f>G597+G601</f>
        <v>2276718.7999999998</v>
      </c>
    </row>
    <row r="597" spans="1:7" ht="45" x14ac:dyDescent="0.2">
      <c r="A597" s="56" t="s">
        <v>230</v>
      </c>
      <c r="B597" s="3" t="s">
        <v>290</v>
      </c>
      <c r="C597" s="19" t="s">
        <v>30</v>
      </c>
      <c r="D597" s="19" t="s">
        <v>6</v>
      </c>
      <c r="E597" s="57" t="s">
        <v>231</v>
      </c>
      <c r="F597" s="3"/>
      <c r="G597" s="32">
        <f>G598</f>
        <v>2233568.5999999996</v>
      </c>
    </row>
    <row r="598" spans="1:7" x14ac:dyDescent="0.2">
      <c r="A598" s="20" t="s">
        <v>235</v>
      </c>
      <c r="B598" s="3" t="s">
        <v>290</v>
      </c>
      <c r="C598" s="19" t="s">
        <v>30</v>
      </c>
      <c r="D598" s="19" t="s">
        <v>6</v>
      </c>
      <c r="E598" s="57" t="s">
        <v>236</v>
      </c>
      <c r="F598" s="3"/>
      <c r="G598" s="32">
        <f>G599</f>
        <v>2233568.5999999996</v>
      </c>
    </row>
    <row r="599" spans="1:7" ht="30" x14ac:dyDescent="0.2">
      <c r="A599" s="20" t="s">
        <v>419</v>
      </c>
      <c r="B599" s="3" t="s">
        <v>290</v>
      </c>
      <c r="C599" s="19" t="s">
        <v>30</v>
      </c>
      <c r="D599" s="19" t="s">
        <v>6</v>
      </c>
      <c r="E599" s="57" t="s">
        <v>237</v>
      </c>
      <c r="F599" s="19"/>
      <c r="G599" s="28">
        <f>G600</f>
        <v>2233568.5999999996</v>
      </c>
    </row>
    <row r="600" spans="1:7" ht="30" x14ac:dyDescent="0.2">
      <c r="A600" s="20" t="s">
        <v>112</v>
      </c>
      <c r="B600" s="3" t="s">
        <v>290</v>
      </c>
      <c r="C600" s="19" t="s">
        <v>30</v>
      </c>
      <c r="D600" s="19" t="s">
        <v>6</v>
      </c>
      <c r="E600" s="57" t="s">
        <v>237</v>
      </c>
      <c r="F600" s="19" t="s">
        <v>107</v>
      </c>
      <c r="G600" s="28">
        <f>2185722.8-89211.3+5957.2+131099.9</f>
        <v>2233568.5999999996</v>
      </c>
    </row>
    <row r="601" spans="1:7" x14ac:dyDescent="0.2">
      <c r="A601" s="9" t="s">
        <v>226</v>
      </c>
      <c r="B601" s="3" t="s">
        <v>290</v>
      </c>
      <c r="C601" s="19" t="s">
        <v>30</v>
      </c>
      <c r="D601" s="19" t="s">
        <v>6</v>
      </c>
      <c r="E601" s="57" t="s">
        <v>227</v>
      </c>
      <c r="F601" s="19"/>
      <c r="G601" s="28">
        <f>G602</f>
        <v>43150.2</v>
      </c>
    </row>
    <row r="602" spans="1:7" ht="30" x14ac:dyDescent="0.2">
      <c r="A602" s="20" t="s">
        <v>358</v>
      </c>
      <c r="B602" s="3" t="s">
        <v>290</v>
      </c>
      <c r="C602" s="19" t="s">
        <v>30</v>
      </c>
      <c r="D602" s="19" t="s">
        <v>6</v>
      </c>
      <c r="E602" s="57" t="s">
        <v>259</v>
      </c>
      <c r="F602" s="19"/>
      <c r="G602" s="28">
        <f>G603</f>
        <v>43150.2</v>
      </c>
    </row>
    <row r="603" spans="1:7" ht="60" x14ac:dyDescent="0.2">
      <c r="A603" s="20" t="s">
        <v>177</v>
      </c>
      <c r="B603" s="3" t="s">
        <v>290</v>
      </c>
      <c r="C603" s="19" t="s">
        <v>30</v>
      </c>
      <c r="D603" s="19" t="s">
        <v>6</v>
      </c>
      <c r="E603" s="57" t="s">
        <v>260</v>
      </c>
      <c r="F603" s="19"/>
      <c r="G603" s="28">
        <f>G604</f>
        <v>43150.2</v>
      </c>
    </row>
    <row r="604" spans="1:7" ht="30" x14ac:dyDescent="0.2">
      <c r="A604" s="20" t="s">
        <v>112</v>
      </c>
      <c r="B604" s="3" t="s">
        <v>290</v>
      </c>
      <c r="C604" s="19" t="s">
        <v>30</v>
      </c>
      <c r="D604" s="19" t="s">
        <v>6</v>
      </c>
      <c r="E604" s="57" t="s">
        <v>260</v>
      </c>
      <c r="F604" s="19" t="s">
        <v>107</v>
      </c>
      <c r="G604" s="28">
        <f>20310+4348.8+4356.9+14134.5</f>
        <v>43150.2</v>
      </c>
    </row>
    <row r="605" spans="1:7" x14ac:dyDescent="0.2">
      <c r="A605" s="1" t="s">
        <v>32</v>
      </c>
      <c r="B605" s="3" t="s">
        <v>290</v>
      </c>
      <c r="C605" s="3" t="s">
        <v>30</v>
      </c>
      <c r="D605" s="3" t="s">
        <v>16</v>
      </c>
      <c r="E605" s="3"/>
      <c r="F605" s="3"/>
      <c r="G605" s="32">
        <f>G606+G614+G629</f>
        <v>6243180.5</v>
      </c>
    </row>
    <row r="606" spans="1:7" ht="30" x14ac:dyDescent="0.2">
      <c r="A606" s="71" t="s">
        <v>502</v>
      </c>
      <c r="B606" s="3" t="s">
        <v>290</v>
      </c>
      <c r="C606" s="19" t="s">
        <v>30</v>
      </c>
      <c r="D606" s="19" t="s">
        <v>16</v>
      </c>
      <c r="E606" s="57" t="s">
        <v>221</v>
      </c>
      <c r="F606" s="22"/>
      <c r="G606" s="32">
        <f>G607</f>
        <v>4537406.2</v>
      </c>
    </row>
    <row r="607" spans="1:7" ht="45" x14ac:dyDescent="0.25">
      <c r="A607" s="70" t="s">
        <v>503</v>
      </c>
      <c r="B607" s="3" t="s">
        <v>290</v>
      </c>
      <c r="C607" s="19" t="s">
        <v>30</v>
      </c>
      <c r="D607" s="19" t="s">
        <v>16</v>
      </c>
      <c r="E607" s="57" t="s">
        <v>222</v>
      </c>
      <c r="F607" s="22"/>
      <c r="G607" s="32">
        <f>G608+G611</f>
        <v>4537406.2</v>
      </c>
    </row>
    <row r="608" spans="1:7" x14ac:dyDescent="0.2">
      <c r="A608" s="9" t="s">
        <v>351</v>
      </c>
      <c r="B608" s="3" t="s">
        <v>290</v>
      </c>
      <c r="C608" s="19" t="s">
        <v>30</v>
      </c>
      <c r="D608" s="19" t="s">
        <v>16</v>
      </c>
      <c r="E608" s="57" t="s">
        <v>239</v>
      </c>
      <c r="F608" s="19"/>
      <c r="G608" s="32">
        <f>G609</f>
        <v>8028.4</v>
      </c>
    </row>
    <row r="609" spans="1:7" ht="30" x14ac:dyDescent="0.2">
      <c r="A609" s="9" t="s">
        <v>355</v>
      </c>
      <c r="B609" s="3" t="s">
        <v>290</v>
      </c>
      <c r="C609" s="19" t="s">
        <v>30</v>
      </c>
      <c r="D609" s="19" t="s">
        <v>16</v>
      </c>
      <c r="E609" s="57" t="s">
        <v>240</v>
      </c>
      <c r="F609" s="19"/>
      <c r="G609" s="32">
        <f>G610</f>
        <v>8028.4</v>
      </c>
    </row>
    <row r="610" spans="1:7" ht="30" x14ac:dyDescent="0.2">
      <c r="A610" s="20" t="s">
        <v>112</v>
      </c>
      <c r="B610" s="3" t="s">
        <v>290</v>
      </c>
      <c r="C610" s="19" t="s">
        <v>30</v>
      </c>
      <c r="D610" s="19" t="s">
        <v>16</v>
      </c>
      <c r="E610" s="57" t="s">
        <v>240</v>
      </c>
      <c r="F610" s="19" t="s">
        <v>107</v>
      </c>
      <c r="G610" s="32">
        <v>8028.4</v>
      </c>
    </row>
    <row r="611" spans="1:7" ht="105" x14ac:dyDescent="0.2">
      <c r="A611" s="20" t="s">
        <v>223</v>
      </c>
      <c r="B611" s="3" t="s">
        <v>290</v>
      </c>
      <c r="C611" s="19" t="s">
        <v>30</v>
      </c>
      <c r="D611" s="19" t="s">
        <v>16</v>
      </c>
      <c r="E611" s="57" t="s">
        <v>224</v>
      </c>
      <c r="F611" s="19"/>
      <c r="G611" s="28">
        <f>G612</f>
        <v>4529377.8</v>
      </c>
    </row>
    <row r="612" spans="1:7" ht="90" x14ac:dyDescent="0.2">
      <c r="A612" s="20" t="s">
        <v>242</v>
      </c>
      <c r="B612" s="3" t="s">
        <v>290</v>
      </c>
      <c r="C612" s="19" t="s">
        <v>30</v>
      </c>
      <c r="D612" s="19" t="s">
        <v>16</v>
      </c>
      <c r="E612" s="57" t="s">
        <v>243</v>
      </c>
      <c r="F612" s="19"/>
      <c r="G612" s="28">
        <f>G613</f>
        <v>4529377.8</v>
      </c>
    </row>
    <row r="613" spans="1:7" ht="30" x14ac:dyDescent="0.2">
      <c r="A613" s="20" t="s">
        <v>112</v>
      </c>
      <c r="B613" s="3" t="s">
        <v>290</v>
      </c>
      <c r="C613" s="19" t="s">
        <v>30</v>
      </c>
      <c r="D613" s="19" t="s">
        <v>16</v>
      </c>
      <c r="E613" s="57" t="s">
        <v>243</v>
      </c>
      <c r="F613" s="19" t="s">
        <v>107</v>
      </c>
      <c r="G613" s="28">
        <f>4532110.6-2732.8</f>
        <v>4529377.8</v>
      </c>
    </row>
    <row r="614" spans="1:7" ht="30" x14ac:dyDescent="0.2">
      <c r="A614" s="56" t="s">
        <v>550</v>
      </c>
      <c r="B614" s="3" t="s">
        <v>290</v>
      </c>
      <c r="C614" s="19" t="s">
        <v>30</v>
      </c>
      <c r="D614" s="19" t="s">
        <v>16</v>
      </c>
      <c r="E614" s="57" t="s">
        <v>221</v>
      </c>
      <c r="F614" s="3"/>
      <c r="G614" s="32">
        <f>G615+G625</f>
        <v>1704770.5</v>
      </c>
    </row>
    <row r="615" spans="1:7" ht="30" x14ac:dyDescent="0.2">
      <c r="A615" s="56" t="s">
        <v>350</v>
      </c>
      <c r="B615" s="3" t="s">
        <v>290</v>
      </c>
      <c r="C615" s="19" t="s">
        <v>30</v>
      </c>
      <c r="D615" s="19" t="s">
        <v>16</v>
      </c>
      <c r="E615" s="57" t="s">
        <v>222</v>
      </c>
      <c r="F615" s="19"/>
      <c r="G615" s="28">
        <f>G616</f>
        <v>1701298.8</v>
      </c>
    </row>
    <row r="616" spans="1:7" x14ac:dyDescent="0.2">
      <c r="A616" s="9" t="s">
        <v>351</v>
      </c>
      <c r="B616" s="3" t="s">
        <v>290</v>
      </c>
      <c r="C616" s="19" t="s">
        <v>30</v>
      </c>
      <c r="D616" s="19" t="s">
        <v>16</v>
      </c>
      <c r="E616" s="57" t="s">
        <v>239</v>
      </c>
      <c r="F616" s="19"/>
      <c r="G616" s="28">
        <f>G617+G621+G619+G623</f>
        <v>1701298.8</v>
      </c>
    </row>
    <row r="617" spans="1:7" ht="30" x14ac:dyDescent="0.2">
      <c r="A617" s="9" t="s">
        <v>355</v>
      </c>
      <c r="B617" s="3" t="s">
        <v>290</v>
      </c>
      <c r="C617" s="19" t="s">
        <v>30</v>
      </c>
      <c r="D617" s="19" t="s">
        <v>16</v>
      </c>
      <c r="E617" s="57" t="s">
        <v>240</v>
      </c>
      <c r="F617" s="19"/>
      <c r="G617" s="28">
        <f>G618</f>
        <v>1615403.8</v>
      </c>
    </row>
    <row r="618" spans="1:7" ht="30" x14ac:dyDescent="0.2">
      <c r="A618" s="20" t="s">
        <v>112</v>
      </c>
      <c r="B618" s="3" t="s">
        <v>290</v>
      </c>
      <c r="C618" s="19" t="s">
        <v>30</v>
      </c>
      <c r="D618" s="19" t="s">
        <v>16</v>
      </c>
      <c r="E618" s="57" t="s">
        <v>240</v>
      </c>
      <c r="F618" s="19" t="s">
        <v>107</v>
      </c>
      <c r="G618" s="28">
        <f>1485078.3+68403.2+20.5+22830.1+39071.7</f>
        <v>1615403.8</v>
      </c>
    </row>
    <row r="619" spans="1:7" ht="30" x14ac:dyDescent="0.2">
      <c r="A619" s="20" t="s">
        <v>626</v>
      </c>
      <c r="B619" s="3" t="s">
        <v>290</v>
      </c>
      <c r="C619" s="19" t="s">
        <v>30</v>
      </c>
      <c r="D619" s="19" t="s">
        <v>16</v>
      </c>
      <c r="E619" s="57" t="s">
        <v>625</v>
      </c>
      <c r="F619" s="19"/>
      <c r="G619" s="28">
        <f>G620</f>
        <v>9900</v>
      </c>
    </row>
    <row r="620" spans="1:7" ht="30" x14ac:dyDescent="0.2">
      <c r="A620" s="20" t="s">
        <v>112</v>
      </c>
      <c r="B620" s="3" t="s">
        <v>290</v>
      </c>
      <c r="C620" s="19" t="s">
        <v>30</v>
      </c>
      <c r="D620" s="19" t="s">
        <v>16</v>
      </c>
      <c r="E620" s="57" t="s">
        <v>625</v>
      </c>
      <c r="F620" s="19" t="s">
        <v>107</v>
      </c>
      <c r="G620" s="28">
        <v>9900</v>
      </c>
    </row>
    <row r="621" spans="1:7" ht="30" x14ac:dyDescent="0.2">
      <c r="A621" s="9" t="s">
        <v>352</v>
      </c>
      <c r="B621" s="3" t="s">
        <v>290</v>
      </c>
      <c r="C621" s="19" t="s">
        <v>30</v>
      </c>
      <c r="D621" s="19" t="s">
        <v>16</v>
      </c>
      <c r="E621" s="57" t="s">
        <v>241</v>
      </c>
      <c r="F621" s="19"/>
      <c r="G621" s="28">
        <f>G622</f>
        <v>75950.099999999991</v>
      </c>
    </row>
    <row r="622" spans="1:7" ht="30" x14ac:dyDescent="0.2">
      <c r="A622" s="20" t="s">
        <v>112</v>
      </c>
      <c r="B622" s="3" t="s">
        <v>290</v>
      </c>
      <c r="C622" s="19" t="s">
        <v>30</v>
      </c>
      <c r="D622" s="19" t="s">
        <v>16</v>
      </c>
      <c r="E622" s="57" t="s">
        <v>241</v>
      </c>
      <c r="F622" s="19" t="s">
        <v>107</v>
      </c>
      <c r="G622" s="28">
        <f>67288.9+3451.7+82+74.8+5052.7</f>
        <v>75950.099999999991</v>
      </c>
    </row>
    <row r="623" spans="1:7" ht="45" x14ac:dyDescent="0.2">
      <c r="A623" s="9" t="s">
        <v>356</v>
      </c>
      <c r="B623" s="3" t="s">
        <v>290</v>
      </c>
      <c r="C623" s="19" t="s">
        <v>30</v>
      </c>
      <c r="D623" s="19" t="s">
        <v>16</v>
      </c>
      <c r="E623" s="57" t="s">
        <v>252</v>
      </c>
      <c r="F623" s="19"/>
      <c r="G623" s="28">
        <f>G624</f>
        <v>44.9</v>
      </c>
    </row>
    <row r="624" spans="1:7" ht="30" x14ac:dyDescent="0.2">
      <c r="A624" s="20" t="s">
        <v>112</v>
      </c>
      <c r="B624" s="3" t="s">
        <v>290</v>
      </c>
      <c r="C624" s="19" t="s">
        <v>30</v>
      </c>
      <c r="D624" s="19" t="s">
        <v>16</v>
      </c>
      <c r="E624" s="57" t="s">
        <v>252</v>
      </c>
      <c r="F624" s="19" t="s">
        <v>107</v>
      </c>
      <c r="G624" s="28">
        <v>44.9</v>
      </c>
    </row>
    <row r="625" spans="1:7" x14ac:dyDescent="0.2">
      <c r="A625" s="9" t="s">
        <v>226</v>
      </c>
      <c r="B625" s="3" t="s">
        <v>290</v>
      </c>
      <c r="C625" s="19" t="s">
        <v>30</v>
      </c>
      <c r="D625" s="19" t="s">
        <v>16</v>
      </c>
      <c r="E625" s="57" t="s">
        <v>227</v>
      </c>
      <c r="F625" s="19"/>
      <c r="G625" s="28">
        <f>G626</f>
        <v>3471.7</v>
      </c>
    </row>
    <row r="626" spans="1:7" ht="30" x14ac:dyDescent="0.2">
      <c r="A626" s="20" t="s">
        <v>358</v>
      </c>
      <c r="B626" s="3" t="s">
        <v>290</v>
      </c>
      <c r="C626" s="19" t="s">
        <v>30</v>
      </c>
      <c r="D626" s="19" t="s">
        <v>16</v>
      </c>
      <c r="E626" s="57" t="s">
        <v>259</v>
      </c>
      <c r="F626" s="19"/>
      <c r="G626" s="28">
        <f>G627</f>
        <v>3471.7</v>
      </c>
    </row>
    <row r="627" spans="1:7" ht="60" x14ac:dyDescent="0.2">
      <c r="A627" s="20" t="s">
        <v>177</v>
      </c>
      <c r="B627" s="3" t="s">
        <v>290</v>
      </c>
      <c r="C627" s="19" t="s">
        <v>30</v>
      </c>
      <c r="D627" s="19" t="s">
        <v>16</v>
      </c>
      <c r="E627" s="57" t="s">
        <v>260</v>
      </c>
      <c r="F627" s="19"/>
      <c r="G627" s="28">
        <f>G628</f>
        <v>3471.7</v>
      </c>
    </row>
    <row r="628" spans="1:7" ht="30" x14ac:dyDescent="0.2">
      <c r="A628" s="20" t="s">
        <v>112</v>
      </c>
      <c r="B628" s="3" t="s">
        <v>290</v>
      </c>
      <c r="C628" s="19" t="s">
        <v>30</v>
      </c>
      <c r="D628" s="19" t="s">
        <v>16</v>
      </c>
      <c r="E628" s="57" t="s">
        <v>260</v>
      </c>
      <c r="F628" s="19" t="s">
        <v>107</v>
      </c>
      <c r="G628" s="28">
        <f>651.2+704.5+2116</f>
        <v>3471.7</v>
      </c>
    </row>
    <row r="629" spans="1:7" x14ac:dyDescent="0.2">
      <c r="A629" s="9" t="s">
        <v>115</v>
      </c>
      <c r="B629" s="3" t="s">
        <v>290</v>
      </c>
      <c r="C629" s="19" t="s">
        <v>30</v>
      </c>
      <c r="D629" s="19" t="s">
        <v>16</v>
      </c>
      <c r="E629" s="57" t="s">
        <v>122</v>
      </c>
      <c r="F629" s="19"/>
      <c r="G629" s="60">
        <f>G630</f>
        <v>1003.8</v>
      </c>
    </row>
    <row r="630" spans="1:7" ht="30" x14ac:dyDescent="0.2">
      <c r="A630" s="45" t="s">
        <v>100</v>
      </c>
      <c r="B630" s="3" t="s">
        <v>290</v>
      </c>
      <c r="C630" s="19" t="s">
        <v>30</v>
      </c>
      <c r="D630" s="19" t="s">
        <v>16</v>
      </c>
      <c r="E630" s="57" t="s">
        <v>126</v>
      </c>
      <c r="F630" s="19"/>
      <c r="G630" s="60">
        <f>G631</f>
        <v>1003.8</v>
      </c>
    </row>
    <row r="631" spans="1:7" ht="54" customHeight="1" x14ac:dyDescent="0.2">
      <c r="A631" s="20" t="s">
        <v>813</v>
      </c>
      <c r="B631" s="3" t="s">
        <v>290</v>
      </c>
      <c r="C631" s="19" t="s">
        <v>30</v>
      </c>
      <c r="D631" s="19" t="s">
        <v>16</v>
      </c>
      <c r="E631" s="57" t="s">
        <v>803</v>
      </c>
      <c r="F631" s="19"/>
      <c r="G631" s="60">
        <f>G632</f>
        <v>1003.8</v>
      </c>
    </row>
    <row r="632" spans="1:7" ht="30" x14ac:dyDescent="0.2">
      <c r="A632" s="20" t="s">
        <v>112</v>
      </c>
      <c r="B632" s="3" t="s">
        <v>290</v>
      </c>
      <c r="C632" s="19" t="s">
        <v>30</v>
      </c>
      <c r="D632" s="19" t="s">
        <v>16</v>
      </c>
      <c r="E632" s="57" t="s">
        <v>803</v>
      </c>
      <c r="F632" s="19" t="s">
        <v>107</v>
      </c>
      <c r="G632" s="60">
        <v>1003.8</v>
      </c>
    </row>
    <row r="633" spans="1:7" x14ac:dyDescent="0.2">
      <c r="A633" s="20" t="s">
        <v>468</v>
      </c>
      <c r="B633" s="3" t="s">
        <v>290</v>
      </c>
      <c r="C633" s="19" t="s">
        <v>30</v>
      </c>
      <c r="D633" s="19" t="s">
        <v>15</v>
      </c>
      <c r="E633" s="57"/>
      <c r="F633" s="19"/>
      <c r="G633" s="28">
        <f>G634</f>
        <v>1118072.2999999998</v>
      </c>
    </row>
    <row r="634" spans="1:7" ht="30" x14ac:dyDescent="0.2">
      <c r="A634" s="56" t="s">
        <v>550</v>
      </c>
      <c r="B634" s="3" t="s">
        <v>290</v>
      </c>
      <c r="C634" s="19" t="s">
        <v>30</v>
      </c>
      <c r="D634" s="19" t="s">
        <v>15</v>
      </c>
      <c r="E634" s="57" t="s">
        <v>221</v>
      </c>
      <c r="F634" s="19"/>
      <c r="G634" s="28">
        <f>G635</f>
        <v>1118072.2999999998</v>
      </c>
    </row>
    <row r="635" spans="1:7" ht="30" x14ac:dyDescent="0.2">
      <c r="A635" s="18" t="s">
        <v>244</v>
      </c>
      <c r="B635" s="3" t="s">
        <v>290</v>
      </c>
      <c r="C635" s="19" t="s">
        <v>30</v>
      </c>
      <c r="D635" s="19" t="s">
        <v>15</v>
      </c>
      <c r="E635" s="48" t="s">
        <v>245</v>
      </c>
      <c r="F635" s="48"/>
      <c r="G635" s="28">
        <f>G636</f>
        <v>1118072.2999999998</v>
      </c>
    </row>
    <row r="636" spans="1:7" ht="30" x14ac:dyDescent="0.2">
      <c r="A636" s="18" t="s">
        <v>168</v>
      </c>
      <c r="B636" s="3" t="s">
        <v>290</v>
      </c>
      <c r="C636" s="19" t="s">
        <v>30</v>
      </c>
      <c r="D636" s="19" t="s">
        <v>15</v>
      </c>
      <c r="E636" s="48" t="s">
        <v>246</v>
      </c>
      <c r="F636" s="48"/>
      <c r="G636" s="28">
        <f>G637+G639</f>
        <v>1118072.2999999998</v>
      </c>
    </row>
    <row r="637" spans="1:7" ht="45" x14ac:dyDescent="0.2">
      <c r="A637" s="18" t="s">
        <v>353</v>
      </c>
      <c r="B637" s="3" t="s">
        <v>290</v>
      </c>
      <c r="C637" s="19" t="s">
        <v>30</v>
      </c>
      <c r="D637" s="19" t="s">
        <v>15</v>
      </c>
      <c r="E637" s="48" t="s">
        <v>247</v>
      </c>
      <c r="F637" s="48"/>
      <c r="G637" s="28">
        <f>G638</f>
        <v>482361.59999999992</v>
      </c>
    </row>
    <row r="638" spans="1:7" ht="30" x14ac:dyDescent="0.2">
      <c r="A638" s="20" t="s">
        <v>112</v>
      </c>
      <c r="B638" s="3" t="s">
        <v>290</v>
      </c>
      <c r="C638" s="19" t="s">
        <v>30</v>
      </c>
      <c r="D638" s="19" t="s">
        <v>15</v>
      </c>
      <c r="E638" s="48" t="s">
        <v>247</v>
      </c>
      <c r="F638" s="48">
        <v>600</v>
      </c>
      <c r="G638" s="28">
        <f>476055.8-2080.4+79.3+808.1+7498.8</f>
        <v>482361.59999999992</v>
      </c>
    </row>
    <row r="639" spans="1:7" ht="45" x14ac:dyDescent="0.2">
      <c r="A639" s="53" t="s">
        <v>354</v>
      </c>
      <c r="B639" s="3" t="s">
        <v>290</v>
      </c>
      <c r="C639" s="19" t="s">
        <v>30</v>
      </c>
      <c r="D639" s="19" t="s">
        <v>15</v>
      </c>
      <c r="E639" s="48" t="s">
        <v>248</v>
      </c>
      <c r="F639" s="48"/>
      <c r="G639" s="28">
        <f>G640</f>
        <v>635710.69999999995</v>
      </c>
    </row>
    <row r="640" spans="1:7" ht="30" x14ac:dyDescent="0.2">
      <c r="A640" s="20" t="s">
        <v>112</v>
      </c>
      <c r="B640" s="3" t="s">
        <v>290</v>
      </c>
      <c r="C640" s="19" t="s">
        <v>30</v>
      </c>
      <c r="D640" s="19" t="s">
        <v>15</v>
      </c>
      <c r="E640" s="48" t="s">
        <v>248</v>
      </c>
      <c r="F640" s="48">
        <v>600</v>
      </c>
      <c r="G640" s="28">
        <f>613048.1+9856.6+254.4+12551.6</f>
        <v>635710.69999999995</v>
      </c>
    </row>
    <row r="641" spans="1:7" x14ac:dyDescent="0.2">
      <c r="A641" s="1" t="s">
        <v>273</v>
      </c>
      <c r="B641" s="3" t="s">
        <v>290</v>
      </c>
      <c r="C641" s="3" t="s">
        <v>30</v>
      </c>
      <c r="D641" s="3" t="s">
        <v>30</v>
      </c>
      <c r="E641" s="3"/>
      <c r="F641" s="3"/>
      <c r="G641" s="32">
        <f>G642</f>
        <v>50114.400000000001</v>
      </c>
    </row>
    <row r="642" spans="1:7" ht="45" x14ac:dyDescent="0.2">
      <c r="A642" s="1" t="s">
        <v>733</v>
      </c>
      <c r="B642" s="3" t="s">
        <v>290</v>
      </c>
      <c r="C642" s="3" t="s">
        <v>30</v>
      </c>
      <c r="D642" s="3" t="s">
        <v>30</v>
      </c>
      <c r="E642" s="3" t="s">
        <v>739</v>
      </c>
      <c r="F642" s="3"/>
      <c r="G642" s="32">
        <f>G643</f>
        <v>50114.400000000001</v>
      </c>
    </row>
    <row r="643" spans="1:7" ht="30" x14ac:dyDescent="0.2">
      <c r="A643" s="1" t="s">
        <v>753</v>
      </c>
      <c r="B643" s="3" t="s">
        <v>290</v>
      </c>
      <c r="C643" s="3" t="s">
        <v>30</v>
      </c>
      <c r="D643" s="3" t="s">
        <v>30</v>
      </c>
      <c r="E643" s="3" t="s">
        <v>756</v>
      </c>
      <c r="F643" s="3"/>
      <c r="G643" s="32">
        <f>G644</f>
        <v>50114.400000000001</v>
      </c>
    </row>
    <row r="644" spans="1:7" ht="45" x14ac:dyDescent="0.2">
      <c r="A644" s="1" t="s">
        <v>754</v>
      </c>
      <c r="B644" s="3" t="s">
        <v>290</v>
      </c>
      <c r="C644" s="3" t="s">
        <v>30</v>
      </c>
      <c r="D644" s="3" t="s">
        <v>30</v>
      </c>
      <c r="E644" s="3" t="s">
        <v>757</v>
      </c>
      <c r="F644" s="3"/>
      <c r="G644" s="32">
        <f>G645+G647</f>
        <v>50114.400000000001</v>
      </c>
    </row>
    <row r="645" spans="1:7" ht="45" x14ac:dyDescent="0.2">
      <c r="A645" s="1" t="s">
        <v>755</v>
      </c>
      <c r="B645" s="3" t="s">
        <v>290</v>
      </c>
      <c r="C645" s="3" t="s">
        <v>30</v>
      </c>
      <c r="D645" s="3" t="s">
        <v>30</v>
      </c>
      <c r="E645" s="3" t="s">
        <v>758</v>
      </c>
      <c r="F645" s="3"/>
      <c r="G645" s="32">
        <f>G646</f>
        <v>48222.8</v>
      </c>
    </row>
    <row r="646" spans="1:7" ht="30" x14ac:dyDescent="0.2">
      <c r="A646" s="20" t="s">
        <v>112</v>
      </c>
      <c r="B646" s="3" t="s">
        <v>290</v>
      </c>
      <c r="C646" s="3" t="s">
        <v>30</v>
      </c>
      <c r="D646" s="3" t="s">
        <v>30</v>
      </c>
      <c r="E646" s="3" t="s">
        <v>759</v>
      </c>
      <c r="F646" s="3" t="s">
        <v>107</v>
      </c>
      <c r="G646" s="32">
        <v>48222.8</v>
      </c>
    </row>
    <row r="647" spans="1:7" ht="45" x14ac:dyDescent="0.2">
      <c r="A647" s="1" t="s">
        <v>760</v>
      </c>
      <c r="B647" s="3" t="s">
        <v>290</v>
      </c>
      <c r="C647" s="3" t="s">
        <v>30</v>
      </c>
      <c r="D647" s="3" t="s">
        <v>30</v>
      </c>
      <c r="E647" s="3" t="s">
        <v>761</v>
      </c>
      <c r="F647" s="3"/>
      <c r="G647" s="32">
        <f>G648</f>
        <v>1891.6</v>
      </c>
    </row>
    <row r="648" spans="1:7" ht="30" x14ac:dyDescent="0.2">
      <c r="A648" s="20" t="s">
        <v>112</v>
      </c>
      <c r="B648" s="3" t="s">
        <v>290</v>
      </c>
      <c r="C648" s="3" t="s">
        <v>30</v>
      </c>
      <c r="D648" s="3" t="s">
        <v>30</v>
      </c>
      <c r="E648" s="3" t="s">
        <v>762</v>
      </c>
      <c r="F648" s="3" t="s">
        <v>107</v>
      </c>
      <c r="G648" s="32">
        <v>1891.6</v>
      </c>
    </row>
    <row r="649" spans="1:7" x14ac:dyDescent="0.2">
      <c r="A649" s="1" t="s">
        <v>34</v>
      </c>
      <c r="B649" s="3" t="s">
        <v>290</v>
      </c>
      <c r="C649" s="3" t="s">
        <v>30</v>
      </c>
      <c r="D649" s="3" t="s">
        <v>17</v>
      </c>
      <c r="E649" s="3"/>
      <c r="F649" s="3"/>
      <c r="G649" s="32">
        <f>G650+G660+G702+G699</f>
        <v>765526.4</v>
      </c>
    </row>
    <row r="650" spans="1:7" ht="30" x14ac:dyDescent="0.2">
      <c r="A650" s="71" t="s">
        <v>502</v>
      </c>
      <c r="B650" s="3" t="s">
        <v>290</v>
      </c>
      <c r="C650" s="19" t="s">
        <v>30</v>
      </c>
      <c r="D650" s="19" t="s">
        <v>17</v>
      </c>
      <c r="E650" s="57" t="s">
        <v>221</v>
      </c>
      <c r="F650" s="22"/>
      <c r="G650" s="32">
        <f>G651</f>
        <v>95781.3</v>
      </c>
    </row>
    <row r="651" spans="1:7" ht="45" x14ac:dyDescent="0.25">
      <c r="A651" s="70" t="s">
        <v>503</v>
      </c>
      <c r="B651" s="3" t="s">
        <v>290</v>
      </c>
      <c r="C651" s="19" t="s">
        <v>30</v>
      </c>
      <c r="D651" s="19" t="s">
        <v>17</v>
      </c>
      <c r="E651" s="57" t="s">
        <v>222</v>
      </c>
      <c r="F651" s="22"/>
      <c r="G651" s="32">
        <f>G652+G657</f>
        <v>95781.3</v>
      </c>
    </row>
    <row r="652" spans="1:7" ht="105" x14ac:dyDescent="0.2">
      <c r="A652" s="20" t="s">
        <v>223</v>
      </c>
      <c r="B652" s="3" t="s">
        <v>290</v>
      </c>
      <c r="C652" s="19" t="s">
        <v>30</v>
      </c>
      <c r="D652" s="19" t="s">
        <v>17</v>
      </c>
      <c r="E652" s="19" t="s">
        <v>224</v>
      </c>
      <c r="F652" s="19"/>
      <c r="G652" s="28">
        <f>G653</f>
        <v>22902.300000000003</v>
      </c>
    </row>
    <row r="653" spans="1:7" ht="30" x14ac:dyDescent="0.2">
      <c r="A653" s="45" t="s">
        <v>253</v>
      </c>
      <c r="B653" s="3" t="s">
        <v>290</v>
      </c>
      <c r="C653" s="3" t="s">
        <v>30</v>
      </c>
      <c r="D653" s="3" t="s">
        <v>17</v>
      </c>
      <c r="E653" s="19" t="s">
        <v>254</v>
      </c>
      <c r="F653" s="3"/>
      <c r="G653" s="32">
        <f>SUM(G654:G656)</f>
        <v>22902.300000000003</v>
      </c>
    </row>
    <row r="654" spans="1:7" ht="60" x14ac:dyDescent="0.2">
      <c r="A654" s="44" t="s">
        <v>108</v>
      </c>
      <c r="B654" s="3" t="s">
        <v>290</v>
      </c>
      <c r="C654" s="3" t="s">
        <v>30</v>
      </c>
      <c r="D654" s="3" t="s">
        <v>17</v>
      </c>
      <c r="E654" s="19" t="s">
        <v>254</v>
      </c>
      <c r="F654" s="3" t="s">
        <v>103</v>
      </c>
      <c r="G654" s="32">
        <f>21665.9-1528.8</f>
        <v>20137.100000000002</v>
      </c>
    </row>
    <row r="655" spans="1:7" ht="30" x14ac:dyDescent="0.2">
      <c r="A655" s="44" t="s">
        <v>102</v>
      </c>
      <c r="B655" s="3" t="s">
        <v>290</v>
      </c>
      <c r="C655" s="3" t="s">
        <v>30</v>
      </c>
      <c r="D655" s="3" t="s">
        <v>17</v>
      </c>
      <c r="E655" s="19" t="s">
        <v>254</v>
      </c>
      <c r="F655" s="3" t="s">
        <v>101</v>
      </c>
      <c r="G655" s="32">
        <f>1150.5+1528.8</f>
        <v>2679.3</v>
      </c>
    </row>
    <row r="656" spans="1:7" x14ac:dyDescent="0.2">
      <c r="A656" s="44" t="s">
        <v>109</v>
      </c>
      <c r="B656" s="3" t="s">
        <v>290</v>
      </c>
      <c r="C656" s="19" t="s">
        <v>30</v>
      </c>
      <c r="D656" s="19" t="s">
        <v>17</v>
      </c>
      <c r="E656" s="19" t="s">
        <v>254</v>
      </c>
      <c r="F656" s="19" t="s">
        <v>104</v>
      </c>
      <c r="G656" s="28">
        <v>85.9</v>
      </c>
    </row>
    <row r="657" spans="1:7" ht="30" x14ac:dyDescent="0.2">
      <c r="A657" s="20" t="s">
        <v>763</v>
      </c>
      <c r="B657" s="3" t="s">
        <v>290</v>
      </c>
      <c r="C657" s="19" t="s">
        <v>30</v>
      </c>
      <c r="D657" s="19" t="s">
        <v>17</v>
      </c>
      <c r="E657" s="19" t="s">
        <v>765</v>
      </c>
      <c r="F657" s="19"/>
      <c r="G657" s="28">
        <f>G658</f>
        <v>72879</v>
      </c>
    </row>
    <row r="658" spans="1:7" x14ac:dyDescent="0.2">
      <c r="A658" s="44" t="s">
        <v>764</v>
      </c>
      <c r="B658" s="3" t="s">
        <v>290</v>
      </c>
      <c r="C658" s="19" t="s">
        <v>30</v>
      </c>
      <c r="D658" s="19" t="s">
        <v>17</v>
      </c>
      <c r="E658" s="19" t="s">
        <v>766</v>
      </c>
      <c r="F658" s="19"/>
      <c r="G658" s="28">
        <f>G659</f>
        <v>72879</v>
      </c>
    </row>
    <row r="659" spans="1:7" ht="30" x14ac:dyDescent="0.2">
      <c r="A659" s="20" t="s">
        <v>112</v>
      </c>
      <c r="B659" s="3" t="s">
        <v>290</v>
      </c>
      <c r="C659" s="19" t="s">
        <v>30</v>
      </c>
      <c r="D659" s="19" t="s">
        <v>17</v>
      </c>
      <c r="E659" s="19" t="s">
        <v>766</v>
      </c>
      <c r="F659" s="19" t="s">
        <v>107</v>
      </c>
      <c r="G659" s="28">
        <v>72879</v>
      </c>
    </row>
    <row r="660" spans="1:7" ht="30" x14ac:dyDescent="0.2">
      <c r="A660" s="56" t="s">
        <v>550</v>
      </c>
      <c r="B660" s="3" t="s">
        <v>290</v>
      </c>
      <c r="C660" s="19" t="s">
        <v>30</v>
      </c>
      <c r="D660" s="19" t="s">
        <v>17</v>
      </c>
      <c r="E660" s="57" t="s">
        <v>221</v>
      </c>
      <c r="F660" s="3"/>
      <c r="G660" s="32">
        <f>G661+G674+G695+G670</f>
        <v>634384.19999999995</v>
      </c>
    </row>
    <row r="661" spans="1:7" ht="30" x14ac:dyDescent="0.2">
      <c r="A661" s="56" t="s">
        <v>238</v>
      </c>
      <c r="B661" s="3" t="s">
        <v>290</v>
      </c>
      <c r="C661" s="19" t="s">
        <v>30</v>
      </c>
      <c r="D661" s="19" t="s">
        <v>17</v>
      </c>
      <c r="E661" s="57" t="s">
        <v>222</v>
      </c>
      <c r="F661" s="19"/>
      <c r="G661" s="28">
        <f>G662+G667</f>
        <v>110607</v>
      </c>
    </row>
    <row r="662" spans="1:7" x14ac:dyDescent="0.2">
      <c r="A662" s="9" t="s">
        <v>351</v>
      </c>
      <c r="B662" s="3" t="s">
        <v>290</v>
      </c>
      <c r="C662" s="19" t="s">
        <v>30</v>
      </c>
      <c r="D662" s="19" t="s">
        <v>17</v>
      </c>
      <c r="E662" s="57" t="s">
        <v>239</v>
      </c>
      <c r="F662" s="19"/>
      <c r="G662" s="28">
        <f>G663+G665</f>
        <v>86899.5</v>
      </c>
    </row>
    <row r="663" spans="1:7" x14ac:dyDescent="0.2">
      <c r="A663" s="44" t="s">
        <v>249</v>
      </c>
      <c r="B663" s="3" t="s">
        <v>290</v>
      </c>
      <c r="C663" s="19" t="s">
        <v>30</v>
      </c>
      <c r="D663" s="19" t="s">
        <v>17</v>
      </c>
      <c r="E663" s="57" t="s">
        <v>250</v>
      </c>
      <c r="F663" s="19"/>
      <c r="G663" s="28">
        <f>G664</f>
        <v>14127.900000000001</v>
      </c>
    </row>
    <row r="664" spans="1:7" ht="30" x14ac:dyDescent="0.2">
      <c r="A664" s="44" t="s">
        <v>102</v>
      </c>
      <c r="B664" s="3" t="s">
        <v>290</v>
      </c>
      <c r="C664" s="19" t="s">
        <v>30</v>
      </c>
      <c r="D664" s="19" t="s">
        <v>17</v>
      </c>
      <c r="E664" s="57" t="s">
        <v>250</v>
      </c>
      <c r="F664" s="19" t="s">
        <v>101</v>
      </c>
      <c r="G664" s="28">
        <f>13712.2+415.7</f>
        <v>14127.900000000001</v>
      </c>
    </row>
    <row r="665" spans="1:7" ht="45" x14ac:dyDescent="0.2">
      <c r="A665" s="20" t="s">
        <v>356</v>
      </c>
      <c r="B665" s="3" t="s">
        <v>290</v>
      </c>
      <c r="C665" s="19" t="s">
        <v>30</v>
      </c>
      <c r="D665" s="19" t="s">
        <v>17</v>
      </c>
      <c r="E665" s="57" t="s">
        <v>252</v>
      </c>
      <c r="F665" s="19"/>
      <c r="G665" s="28">
        <f>G666</f>
        <v>72771.600000000006</v>
      </c>
    </row>
    <row r="666" spans="1:7" ht="30" x14ac:dyDescent="0.2">
      <c r="A666" s="20" t="s">
        <v>112</v>
      </c>
      <c r="B666" s="3" t="s">
        <v>290</v>
      </c>
      <c r="C666" s="19" t="s">
        <v>30</v>
      </c>
      <c r="D666" s="19" t="s">
        <v>17</v>
      </c>
      <c r="E666" s="57" t="s">
        <v>252</v>
      </c>
      <c r="F666" s="19" t="s">
        <v>107</v>
      </c>
      <c r="G666" s="28">
        <f>73252.8-481.2</f>
        <v>72771.600000000006</v>
      </c>
    </row>
    <row r="667" spans="1:7" ht="30" x14ac:dyDescent="0.2">
      <c r="A667" s="20" t="s">
        <v>763</v>
      </c>
      <c r="B667" s="3" t="s">
        <v>290</v>
      </c>
      <c r="C667" s="19" t="s">
        <v>30</v>
      </c>
      <c r="D667" s="19" t="s">
        <v>17</v>
      </c>
      <c r="E667" s="57" t="s">
        <v>765</v>
      </c>
      <c r="F667" s="19"/>
      <c r="G667" s="28">
        <f>G668</f>
        <v>23707.5</v>
      </c>
    </row>
    <row r="668" spans="1:7" ht="30" x14ac:dyDescent="0.2">
      <c r="A668" s="20" t="s">
        <v>767</v>
      </c>
      <c r="B668" s="3" t="s">
        <v>290</v>
      </c>
      <c r="C668" s="19" t="s">
        <v>30</v>
      </c>
      <c r="D668" s="19" t="s">
        <v>17</v>
      </c>
      <c r="E668" s="57" t="s">
        <v>768</v>
      </c>
      <c r="F668" s="19"/>
      <c r="G668" s="28">
        <f>G669</f>
        <v>23707.5</v>
      </c>
    </row>
    <row r="669" spans="1:7" ht="30" x14ac:dyDescent="0.2">
      <c r="A669" s="20" t="s">
        <v>112</v>
      </c>
      <c r="B669" s="3" t="s">
        <v>290</v>
      </c>
      <c r="C669" s="19" t="s">
        <v>30</v>
      </c>
      <c r="D669" s="19" t="s">
        <v>17</v>
      </c>
      <c r="E669" s="57" t="s">
        <v>768</v>
      </c>
      <c r="F669" s="19" t="s">
        <v>107</v>
      </c>
      <c r="G669" s="28">
        <f>59.9+23647.6</f>
        <v>23707.5</v>
      </c>
    </row>
    <row r="670" spans="1:7" ht="45" x14ac:dyDescent="0.2">
      <c r="A670" s="20" t="s">
        <v>804</v>
      </c>
      <c r="B670" s="3" t="s">
        <v>290</v>
      </c>
      <c r="C670" s="19" t="s">
        <v>30</v>
      </c>
      <c r="D670" s="19" t="s">
        <v>17</v>
      </c>
      <c r="E670" s="23" t="s">
        <v>805</v>
      </c>
      <c r="F670" s="19"/>
      <c r="G670" s="28">
        <f>G671</f>
        <v>1350</v>
      </c>
    </row>
    <row r="671" spans="1:7" ht="33" customHeight="1" x14ac:dyDescent="0.2">
      <c r="A671" s="20" t="s">
        <v>806</v>
      </c>
      <c r="B671" s="3" t="s">
        <v>290</v>
      </c>
      <c r="C671" s="19" t="s">
        <v>30</v>
      </c>
      <c r="D671" s="19" t="s">
        <v>17</v>
      </c>
      <c r="E671" s="23" t="s">
        <v>807</v>
      </c>
      <c r="F671" s="19"/>
      <c r="G671" s="28">
        <f>G672</f>
        <v>1350</v>
      </c>
    </row>
    <row r="672" spans="1:7" ht="30" x14ac:dyDescent="0.2">
      <c r="A672" s="20" t="s">
        <v>808</v>
      </c>
      <c r="B672" s="3" t="s">
        <v>290</v>
      </c>
      <c r="C672" s="19" t="s">
        <v>30</v>
      </c>
      <c r="D672" s="19" t="s">
        <v>17</v>
      </c>
      <c r="E672" s="23" t="s">
        <v>809</v>
      </c>
      <c r="F672" s="19"/>
      <c r="G672" s="28">
        <f>G673</f>
        <v>1350</v>
      </c>
    </row>
    <row r="673" spans="1:7" x14ac:dyDescent="0.2">
      <c r="A673" s="18" t="s">
        <v>111</v>
      </c>
      <c r="B673" s="3" t="s">
        <v>290</v>
      </c>
      <c r="C673" s="19" t="s">
        <v>30</v>
      </c>
      <c r="D673" s="19" t="s">
        <v>17</v>
      </c>
      <c r="E673" s="23" t="s">
        <v>809</v>
      </c>
      <c r="F673" s="19" t="s">
        <v>105</v>
      </c>
      <c r="G673" s="28">
        <v>1350</v>
      </c>
    </row>
    <row r="674" spans="1:7" x14ac:dyDescent="0.2">
      <c r="A674" s="44" t="s">
        <v>226</v>
      </c>
      <c r="B674" s="3" t="s">
        <v>290</v>
      </c>
      <c r="C674" s="19" t="s">
        <v>30</v>
      </c>
      <c r="D674" s="19" t="s">
        <v>17</v>
      </c>
      <c r="E674" s="19" t="s">
        <v>227</v>
      </c>
      <c r="F674" s="19"/>
      <c r="G674" s="28">
        <f>G675+G681+G686+G689+G692</f>
        <v>502427.19999999995</v>
      </c>
    </row>
    <row r="675" spans="1:7" ht="30" x14ac:dyDescent="0.2">
      <c r="A675" s="44" t="s">
        <v>349</v>
      </c>
      <c r="B675" s="3" t="s">
        <v>290</v>
      </c>
      <c r="C675" s="19" t="s">
        <v>30</v>
      </c>
      <c r="D675" s="19" t="s">
        <v>17</v>
      </c>
      <c r="E675" s="19" t="s">
        <v>228</v>
      </c>
      <c r="F675" s="19"/>
      <c r="G675" s="32">
        <f>G676</f>
        <v>325133.69999999995</v>
      </c>
    </row>
    <row r="676" spans="1:7" ht="30" x14ac:dyDescent="0.2">
      <c r="A676" s="44" t="s">
        <v>251</v>
      </c>
      <c r="B676" s="3" t="s">
        <v>290</v>
      </c>
      <c r="C676" s="19" t="s">
        <v>30</v>
      </c>
      <c r="D676" s="19" t="s">
        <v>17</v>
      </c>
      <c r="E676" s="19" t="s">
        <v>255</v>
      </c>
      <c r="F676" s="19"/>
      <c r="G676" s="32">
        <f>SUM(G677:G680)</f>
        <v>325133.69999999995</v>
      </c>
    </row>
    <row r="677" spans="1:7" ht="60" x14ac:dyDescent="0.2">
      <c r="A677" s="44" t="s">
        <v>108</v>
      </c>
      <c r="B677" s="3" t="s">
        <v>290</v>
      </c>
      <c r="C677" s="19" t="s">
        <v>30</v>
      </c>
      <c r="D677" s="19" t="s">
        <v>17</v>
      </c>
      <c r="E677" s="19" t="s">
        <v>255</v>
      </c>
      <c r="F677" s="19" t="s">
        <v>103</v>
      </c>
      <c r="G677" s="28">
        <f>232290.5+28951.9+37651.6+9110.6</f>
        <v>308004.59999999998</v>
      </c>
    </row>
    <row r="678" spans="1:7" ht="30" x14ac:dyDescent="0.2">
      <c r="A678" s="44" t="s">
        <v>102</v>
      </c>
      <c r="B678" s="3" t="s">
        <v>290</v>
      </c>
      <c r="C678" s="19" t="s">
        <v>30</v>
      </c>
      <c r="D678" s="19" t="s">
        <v>17</v>
      </c>
      <c r="E678" s="19" t="s">
        <v>255</v>
      </c>
      <c r="F678" s="19" t="s">
        <v>101</v>
      </c>
      <c r="G678" s="28">
        <v>16780.3</v>
      </c>
    </row>
    <row r="679" spans="1:7" ht="30" x14ac:dyDescent="0.2">
      <c r="A679" s="20" t="s">
        <v>112</v>
      </c>
      <c r="B679" s="3" t="s">
        <v>290</v>
      </c>
      <c r="C679" s="19" t="s">
        <v>30</v>
      </c>
      <c r="D679" s="19" t="s">
        <v>17</v>
      </c>
      <c r="E679" s="19" t="s">
        <v>255</v>
      </c>
      <c r="F679" s="19" t="s">
        <v>107</v>
      </c>
      <c r="G679" s="28">
        <v>104.8</v>
      </c>
    </row>
    <row r="680" spans="1:7" x14ac:dyDescent="0.2">
      <c r="A680" s="44" t="s">
        <v>109</v>
      </c>
      <c r="B680" s="3" t="s">
        <v>290</v>
      </c>
      <c r="C680" s="19" t="s">
        <v>30</v>
      </c>
      <c r="D680" s="19" t="s">
        <v>17</v>
      </c>
      <c r="E680" s="19" t="s">
        <v>255</v>
      </c>
      <c r="F680" s="19" t="s">
        <v>104</v>
      </c>
      <c r="G680" s="28">
        <f>155.9+88.1</f>
        <v>244</v>
      </c>
    </row>
    <row r="681" spans="1:7" ht="30" x14ac:dyDescent="0.2">
      <c r="A681" s="44" t="s">
        <v>357</v>
      </c>
      <c r="B681" s="3" t="s">
        <v>290</v>
      </c>
      <c r="C681" s="19" t="s">
        <v>30</v>
      </c>
      <c r="D681" s="19" t="s">
        <v>17</v>
      </c>
      <c r="E681" s="19" t="s">
        <v>256</v>
      </c>
      <c r="F681" s="19"/>
      <c r="G681" s="28">
        <f>G682</f>
        <v>64323.8</v>
      </c>
    </row>
    <row r="682" spans="1:7" ht="30" x14ac:dyDescent="0.2">
      <c r="A682" s="20" t="s">
        <v>257</v>
      </c>
      <c r="B682" s="3" t="s">
        <v>290</v>
      </c>
      <c r="C682" s="19" t="s">
        <v>30</v>
      </c>
      <c r="D682" s="19" t="s">
        <v>17</v>
      </c>
      <c r="E682" s="19" t="s">
        <v>258</v>
      </c>
      <c r="F682" s="19"/>
      <c r="G682" s="28">
        <f>SUM(G683:G685)</f>
        <v>64323.8</v>
      </c>
    </row>
    <row r="683" spans="1:7" ht="30" x14ac:dyDescent="0.2">
      <c r="A683" s="44" t="s">
        <v>102</v>
      </c>
      <c r="B683" s="3" t="s">
        <v>290</v>
      </c>
      <c r="C683" s="19" t="s">
        <v>30</v>
      </c>
      <c r="D683" s="19" t="s">
        <v>17</v>
      </c>
      <c r="E683" s="19" t="s">
        <v>258</v>
      </c>
      <c r="F683" s="19" t="s">
        <v>101</v>
      </c>
      <c r="G683" s="28">
        <f>48939.5</f>
        <v>48939.5</v>
      </c>
    </row>
    <row r="684" spans="1:7" x14ac:dyDescent="0.2">
      <c r="A684" s="44" t="s">
        <v>111</v>
      </c>
      <c r="B684" s="3" t="s">
        <v>290</v>
      </c>
      <c r="C684" s="19" t="s">
        <v>30</v>
      </c>
      <c r="D684" s="19" t="s">
        <v>17</v>
      </c>
      <c r="E684" s="19" t="s">
        <v>258</v>
      </c>
      <c r="F684" s="19" t="s">
        <v>105</v>
      </c>
      <c r="G684" s="28">
        <v>10000</v>
      </c>
    </row>
    <row r="685" spans="1:7" ht="30" x14ac:dyDescent="0.2">
      <c r="A685" s="20" t="s">
        <v>112</v>
      </c>
      <c r="B685" s="3" t="s">
        <v>290</v>
      </c>
      <c r="C685" s="19" t="s">
        <v>30</v>
      </c>
      <c r="D685" s="19" t="s">
        <v>17</v>
      </c>
      <c r="E685" s="19" t="s">
        <v>258</v>
      </c>
      <c r="F685" s="19" t="s">
        <v>107</v>
      </c>
      <c r="G685" s="28">
        <f>5800-415.7</f>
        <v>5384.3</v>
      </c>
    </row>
    <row r="686" spans="1:7" ht="30" x14ac:dyDescent="0.2">
      <c r="A686" s="20" t="s">
        <v>358</v>
      </c>
      <c r="B686" s="3" t="s">
        <v>290</v>
      </c>
      <c r="C686" s="19" t="s">
        <v>30</v>
      </c>
      <c r="D686" s="19" t="s">
        <v>17</v>
      </c>
      <c r="E686" s="19" t="s">
        <v>259</v>
      </c>
      <c r="F686" s="19"/>
      <c r="G686" s="28">
        <f>G687</f>
        <v>96690</v>
      </c>
    </row>
    <row r="687" spans="1:7" ht="60" x14ac:dyDescent="0.2">
      <c r="A687" s="20" t="s">
        <v>177</v>
      </c>
      <c r="B687" s="3" t="s">
        <v>290</v>
      </c>
      <c r="C687" s="19" t="s">
        <v>30</v>
      </c>
      <c r="D687" s="19" t="s">
        <v>17</v>
      </c>
      <c r="E687" s="19" t="s">
        <v>260</v>
      </c>
      <c r="F687" s="19"/>
      <c r="G687" s="28">
        <f>G688</f>
        <v>96690</v>
      </c>
    </row>
    <row r="688" spans="1:7" ht="30" x14ac:dyDescent="0.2">
      <c r="A688" s="20" t="s">
        <v>112</v>
      </c>
      <c r="B688" s="3" t="s">
        <v>290</v>
      </c>
      <c r="C688" s="19" t="s">
        <v>30</v>
      </c>
      <c r="D688" s="19" t="s">
        <v>17</v>
      </c>
      <c r="E688" s="19" t="s">
        <v>260</v>
      </c>
      <c r="F688" s="19" t="s">
        <v>107</v>
      </c>
      <c r="G688" s="28">
        <v>96690</v>
      </c>
    </row>
    <row r="689" spans="1:7" ht="30" x14ac:dyDescent="0.2">
      <c r="A689" s="20" t="s">
        <v>640</v>
      </c>
      <c r="B689" s="3" t="s">
        <v>290</v>
      </c>
      <c r="C689" s="19" t="s">
        <v>30</v>
      </c>
      <c r="D689" s="19" t="s">
        <v>17</v>
      </c>
      <c r="E689" s="19" t="s">
        <v>627</v>
      </c>
      <c r="F689" s="19"/>
      <c r="G689" s="28">
        <f>G690</f>
        <v>5000</v>
      </c>
    </row>
    <row r="690" spans="1:7" ht="45" x14ac:dyDescent="0.2">
      <c r="A690" s="20" t="s">
        <v>633</v>
      </c>
      <c r="B690" s="3" t="s">
        <v>290</v>
      </c>
      <c r="C690" s="19" t="s">
        <v>30</v>
      </c>
      <c r="D690" s="19" t="s">
        <v>17</v>
      </c>
      <c r="E690" s="19" t="s">
        <v>628</v>
      </c>
      <c r="F690" s="19"/>
      <c r="G690" s="28">
        <f>G691</f>
        <v>5000</v>
      </c>
    </row>
    <row r="691" spans="1:7" ht="30" x14ac:dyDescent="0.2">
      <c r="A691" s="20" t="s">
        <v>112</v>
      </c>
      <c r="B691" s="3" t="s">
        <v>290</v>
      </c>
      <c r="C691" s="19" t="s">
        <v>30</v>
      </c>
      <c r="D691" s="19" t="s">
        <v>17</v>
      </c>
      <c r="E691" s="19" t="s">
        <v>628</v>
      </c>
      <c r="F691" s="19" t="s">
        <v>107</v>
      </c>
      <c r="G691" s="28">
        <v>5000</v>
      </c>
    </row>
    <row r="692" spans="1:7" ht="45" x14ac:dyDescent="0.2">
      <c r="A692" s="20" t="s">
        <v>641</v>
      </c>
      <c r="B692" s="3" t="s">
        <v>290</v>
      </c>
      <c r="C692" s="19" t="s">
        <v>30</v>
      </c>
      <c r="D692" s="19" t="s">
        <v>17</v>
      </c>
      <c r="E692" s="19" t="s">
        <v>629</v>
      </c>
      <c r="F692" s="19"/>
      <c r="G692" s="28">
        <f>G693</f>
        <v>11279.7</v>
      </c>
    </row>
    <row r="693" spans="1:7" ht="45" x14ac:dyDescent="0.2">
      <c r="A693" s="20" t="s">
        <v>634</v>
      </c>
      <c r="B693" s="3" t="s">
        <v>290</v>
      </c>
      <c r="C693" s="19" t="s">
        <v>30</v>
      </c>
      <c r="D693" s="19" t="s">
        <v>17</v>
      </c>
      <c r="E693" s="19" t="s">
        <v>630</v>
      </c>
      <c r="F693" s="19"/>
      <c r="G693" s="28">
        <f>G694</f>
        <v>11279.7</v>
      </c>
    </row>
    <row r="694" spans="1:7" ht="30" x14ac:dyDescent="0.2">
      <c r="A694" s="20" t="s">
        <v>112</v>
      </c>
      <c r="B694" s="3" t="s">
        <v>290</v>
      </c>
      <c r="C694" s="19" t="s">
        <v>30</v>
      </c>
      <c r="D694" s="19" t="s">
        <v>17</v>
      </c>
      <c r="E694" s="19" t="s">
        <v>630</v>
      </c>
      <c r="F694" s="19" t="s">
        <v>107</v>
      </c>
      <c r="G694" s="28">
        <v>11279.7</v>
      </c>
    </row>
    <row r="695" spans="1:7" ht="30" x14ac:dyDescent="0.2">
      <c r="A695" s="20" t="s">
        <v>635</v>
      </c>
      <c r="B695" s="3" t="s">
        <v>290</v>
      </c>
      <c r="C695" s="19" t="s">
        <v>30</v>
      </c>
      <c r="D695" s="19" t="s">
        <v>17</v>
      </c>
      <c r="E695" s="19" t="s">
        <v>631</v>
      </c>
      <c r="F695" s="19"/>
      <c r="G695" s="28">
        <f>G696</f>
        <v>20000</v>
      </c>
    </row>
    <row r="696" spans="1:7" ht="45" x14ac:dyDescent="0.2">
      <c r="A696" s="20" t="s">
        <v>642</v>
      </c>
      <c r="B696" s="3" t="s">
        <v>290</v>
      </c>
      <c r="C696" s="19" t="s">
        <v>30</v>
      </c>
      <c r="D696" s="19" t="s">
        <v>17</v>
      </c>
      <c r="E696" s="19" t="s">
        <v>636</v>
      </c>
      <c r="F696" s="19"/>
      <c r="G696" s="28">
        <f>G697</f>
        <v>20000</v>
      </c>
    </row>
    <row r="697" spans="1:7" ht="30" x14ac:dyDescent="0.2">
      <c r="A697" s="20" t="s">
        <v>638</v>
      </c>
      <c r="B697" s="3" t="s">
        <v>290</v>
      </c>
      <c r="C697" s="19" t="s">
        <v>30</v>
      </c>
      <c r="D697" s="19" t="s">
        <v>17</v>
      </c>
      <c r="E697" s="19" t="s">
        <v>637</v>
      </c>
      <c r="F697" s="19"/>
      <c r="G697" s="28">
        <f>G698</f>
        <v>20000</v>
      </c>
    </row>
    <row r="698" spans="1:7" ht="30" x14ac:dyDescent="0.2">
      <c r="A698" s="20" t="s">
        <v>112</v>
      </c>
      <c r="B698" s="3" t="s">
        <v>290</v>
      </c>
      <c r="C698" s="19" t="s">
        <v>30</v>
      </c>
      <c r="D698" s="19" t="s">
        <v>17</v>
      </c>
      <c r="E698" s="19" t="s">
        <v>637</v>
      </c>
      <c r="F698" s="19" t="s">
        <v>107</v>
      </c>
      <c r="G698" s="28">
        <v>20000</v>
      </c>
    </row>
    <row r="699" spans="1:7" x14ac:dyDescent="0.2">
      <c r="A699" s="44" t="s">
        <v>115</v>
      </c>
      <c r="B699" s="3" t="s">
        <v>290</v>
      </c>
      <c r="C699" s="19" t="s">
        <v>30</v>
      </c>
      <c r="D699" s="19" t="s">
        <v>17</v>
      </c>
      <c r="E699" s="19" t="s">
        <v>122</v>
      </c>
      <c r="F699" s="19"/>
      <c r="G699" s="28">
        <f>G700</f>
        <v>33180.899999999994</v>
      </c>
    </row>
    <row r="700" spans="1:7" ht="30" x14ac:dyDescent="0.2">
      <c r="A700" s="20" t="s">
        <v>359</v>
      </c>
      <c r="B700" s="3" t="s">
        <v>290</v>
      </c>
      <c r="C700" s="19" t="s">
        <v>30</v>
      </c>
      <c r="D700" s="19" t="s">
        <v>17</v>
      </c>
      <c r="E700" s="19" t="s">
        <v>261</v>
      </c>
      <c r="F700" s="19"/>
      <c r="G700" s="28">
        <f>G701</f>
        <v>33180.899999999994</v>
      </c>
    </row>
    <row r="701" spans="1:7" ht="30" x14ac:dyDescent="0.2">
      <c r="A701" s="20" t="s">
        <v>112</v>
      </c>
      <c r="B701" s="3" t="s">
        <v>290</v>
      </c>
      <c r="C701" s="19" t="s">
        <v>30</v>
      </c>
      <c r="D701" s="19" t="s">
        <v>17</v>
      </c>
      <c r="E701" s="19" t="s">
        <v>261</v>
      </c>
      <c r="F701" s="19" t="s">
        <v>107</v>
      </c>
      <c r="G701" s="28">
        <f>32420.7+741.5+18.7</f>
        <v>33180.899999999994</v>
      </c>
    </row>
    <row r="702" spans="1:7" ht="30" x14ac:dyDescent="0.2">
      <c r="A702" s="44" t="s">
        <v>262</v>
      </c>
      <c r="B702" s="3" t="s">
        <v>290</v>
      </c>
      <c r="C702" s="19" t="s">
        <v>30</v>
      </c>
      <c r="D702" s="19" t="s">
        <v>17</v>
      </c>
      <c r="E702" s="19" t="s">
        <v>263</v>
      </c>
      <c r="F702" s="19"/>
      <c r="G702" s="28">
        <f>G703+G706+G709</f>
        <v>2180</v>
      </c>
    </row>
    <row r="703" spans="1:7" ht="45" x14ac:dyDescent="0.2">
      <c r="A703" s="20" t="s">
        <v>491</v>
      </c>
      <c r="B703" s="3" t="s">
        <v>290</v>
      </c>
      <c r="C703" s="19" t="s">
        <v>30</v>
      </c>
      <c r="D703" s="19" t="s">
        <v>17</v>
      </c>
      <c r="E703" s="19" t="s">
        <v>495</v>
      </c>
      <c r="F703" s="19"/>
      <c r="G703" s="28">
        <f>G704</f>
        <v>240</v>
      </c>
    </row>
    <row r="704" spans="1:7" x14ac:dyDescent="0.2">
      <c r="A704" s="20" t="s">
        <v>492</v>
      </c>
      <c r="B704" s="3" t="s">
        <v>290</v>
      </c>
      <c r="C704" s="19" t="s">
        <v>30</v>
      </c>
      <c r="D704" s="19" t="s">
        <v>17</v>
      </c>
      <c r="E704" s="19" t="s">
        <v>496</v>
      </c>
      <c r="F704" s="19"/>
      <c r="G704" s="28">
        <f>G705</f>
        <v>240</v>
      </c>
    </row>
    <row r="705" spans="1:7" ht="30" x14ac:dyDescent="0.2">
      <c r="A705" s="44" t="s">
        <v>102</v>
      </c>
      <c r="B705" s="3" t="s">
        <v>290</v>
      </c>
      <c r="C705" s="19" t="s">
        <v>30</v>
      </c>
      <c r="D705" s="19" t="s">
        <v>17</v>
      </c>
      <c r="E705" s="19" t="s">
        <v>496</v>
      </c>
      <c r="F705" s="19" t="s">
        <v>101</v>
      </c>
      <c r="G705" s="28">
        <v>240</v>
      </c>
    </row>
    <row r="706" spans="1:7" ht="45" x14ac:dyDescent="0.2">
      <c r="A706" s="44" t="s">
        <v>493</v>
      </c>
      <c r="B706" s="3" t="s">
        <v>290</v>
      </c>
      <c r="C706" s="19" t="s">
        <v>30</v>
      </c>
      <c r="D706" s="19" t="s">
        <v>17</v>
      </c>
      <c r="E706" s="19" t="s">
        <v>497</v>
      </c>
      <c r="F706" s="19"/>
      <c r="G706" s="28">
        <f>G707</f>
        <v>650</v>
      </c>
    </row>
    <row r="707" spans="1:7" x14ac:dyDescent="0.2">
      <c r="A707" s="20" t="s">
        <v>492</v>
      </c>
      <c r="B707" s="3" t="s">
        <v>290</v>
      </c>
      <c r="C707" s="19" t="s">
        <v>30</v>
      </c>
      <c r="D707" s="19" t="s">
        <v>17</v>
      </c>
      <c r="E707" s="19" t="s">
        <v>498</v>
      </c>
      <c r="F707" s="19"/>
      <c r="G707" s="28">
        <f>G708</f>
        <v>650</v>
      </c>
    </row>
    <row r="708" spans="1:7" ht="30" x14ac:dyDescent="0.2">
      <c r="A708" s="44" t="s">
        <v>102</v>
      </c>
      <c r="B708" s="3" t="s">
        <v>290</v>
      </c>
      <c r="C708" s="19" t="s">
        <v>30</v>
      </c>
      <c r="D708" s="19" t="s">
        <v>17</v>
      </c>
      <c r="E708" s="19" t="s">
        <v>498</v>
      </c>
      <c r="F708" s="19" t="s">
        <v>101</v>
      </c>
      <c r="G708" s="28">
        <v>650</v>
      </c>
    </row>
    <row r="709" spans="1:7" ht="45" x14ac:dyDescent="0.2">
      <c r="A709" s="44" t="s">
        <v>494</v>
      </c>
      <c r="B709" s="3" t="s">
        <v>290</v>
      </c>
      <c r="C709" s="19" t="s">
        <v>30</v>
      </c>
      <c r="D709" s="19" t="s">
        <v>17</v>
      </c>
      <c r="E709" s="19" t="s">
        <v>499</v>
      </c>
      <c r="F709" s="19"/>
      <c r="G709" s="28">
        <f>G710</f>
        <v>1290</v>
      </c>
    </row>
    <row r="710" spans="1:7" x14ac:dyDescent="0.2">
      <c r="A710" s="20" t="s">
        <v>492</v>
      </c>
      <c r="B710" s="3" t="s">
        <v>290</v>
      </c>
      <c r="C710" s="19" t="s">
        <v>30</v>
      </c>
      <c r="D710" s="19" t="s">
        <v>17</v>
      </c>
      <c r="E710" s="19" t="s">
        <v>500</v>
      </c>
      <c r="F710" s="19"/>
      <c r="G710" s="28">
        <f>G711+G712</f>
        <v>1290</v>
      </c>
    </row>
    <row r="711" spans="1:7" ht="30" x14ac:dyDescent="0.2">
      <c r="A711" s="44" t="s">
        <v>102</v>
      </c>
      <c r="B711" s="3" t="s">
        <v>290</v>
      </c>
      <c r="C711" s="19" t="s">
        <v>30</v>
      </c>
      <c r="D711" s="19" t="s">
        <v>17</v>
      </c>
      <c r="E711" s="19" t="s">
        <v>500</v>
      </c>
      <c r="F711" s="19" t="s">
        <v>101</v>
      </c>
      <c r="G711" s="28">
        <v>450</v>
      </c>
    </row>
    <row r="712" spans="1:7" ht="30" x14ac:dyDescent="0.2">
      <c r="A712" s="20" t="s">
        <v>112</v>
      </c>
      <c r="B712" s="3" t="s">
        <v>290</v>
      </c>
      <c r="C712" s="19" t="s">
        <v>30</v>
      </c>
      <c r="D712" s="19" t="s">
        <v>17</v>
      </c>
      <c r="E712" s="19" t="s">
        <v>500</v>
      </c>
      <c r="F712" s="19" t="s">
        <v>107</v>
      </c>
      <c r="G712" s="28">
        <v>840</v>
      </c>
    </row>
    <row r="713" spans="1:7" x14ac:dyDescent="0.2">
      <c r="A713" s="9" t="s">
        <v>35</v>
      </c>
      <c r="B713" s="3" t="s">
        <v>290</v>
      </c>
      <c r="C713" s="10" t="s">
        <v>36</v>
      </c>
      <c r="D713" s="10"/>
      <c r="E713" s="10"/>
      <c r="F713" s="10"/>
      <c r="G713" s="31">
        <f>G714+G720</f>
        <v>550109.89999999991</v>
      </c>
    </row>
    <row r="714" spans="1:7" x14ac:dyDescent="0.2">
      <c r="A714" s="9" t="s">
        <v>95</v>
      </c>
      <c r="B714" s="3" t="s">
        <v>290</v>
      </c>
      <c r="C714" s="19" t="s">
        <v>36</v>
      </c>
      <c r="D714" s="19" t="s">
        <v>15</v>
      </c>
      <c r="E714" s="10"/>
      <c r="F714" s="10"/>
      <c r="G714" s="31">
        <f>G715</f>
        <v>284024.59999999998</v>
      </c>
    </row>
    <row r="715" spans="1:7" ht="30" x14ac:dyDescent="0.2">
      <c r="A715" s="56" t="s">
        <v>550</v>
      </c>
      <c r="B715" s="3" t="s">
        <v>290</v>
      </c>
      <c r="C715" s="19" t="s">
        <v>36</v>
      </c>
      <c r="D715" s="19" t="s">
        <v>15</v>
      </c>
      <c r="E715" s="57" t="s">
        <v>221</v>
      </c>
      <c r="F715" s="3"/>
      <c r="G715" s="32">
        <f>G716</f>
        <v>284024.59999999998</v>
      </c>
    </row>
    <row r="716" spans="1:7" ht="30" x14ac:dyDescent="0.2">
      <c r="A716" s="20" t="s">
        <v>635</v>
      </c>
      <c r="B716" s="3" t="s">
        <v>290</v>
      </c>
      <c r="C716" s="19" t="s">
        <v>36</v>
      </c>
      <c r="D716" s="19" t="s">
        <v>15</v>
      </c>
      <c r="E716" s="19" t="s">
        <v>631</v>
      </c>
      <c r="F716" s="22"/>
      <c r="G716" s="32">
        <f>G717</f>
        <v>284024.59999999998</v>
      </c>
    </row>
    <row r="717" spans="1:7" ht="30" x14ac:dyDescent="0.2">
      <c r="A717" s="9" t="s">
        <v>658</v>
      </c>
      <c r="B717" s="3" t="s">
        <v>290</v>
      </c>
      <c r="C717" s="19" t="s">
        <v>36</v>
      </c>
      <c r="D717" s="19" t="s">
        <v>15</v>
      </c>
      <c r="E717" s="19" t="s">
        <v>659</v>
      </c>
      <c r="F717" s="22"/>
      <c r="G717" s="32">
        <f>G718</f>
        <v>284024.59999999998</v>
      </c>
    </row>
    <row r="718" spans="1:7" ht="30" x14ac:dyDescent="0.2">
      <c r="A718" s="9" t="s">
        <v>264</v>
      </c>
      <c r="B718" s="3" t="s">
        <v>290</v>
      </c>
      <c r="C718" s="19" t="s">
        <v>36</v>
      </c>
      <c r="D718" s="19" t="s">
        <v>15</v>
      </c>
      <c r="E718" s="19" t="s">
        <v>666</v>
      </c>
      <c r="F718" s="22"/>
      <c r="G718" s="32">
        <f>G719</f>
        <v>284024.59999999998</v>
      </c>
    </row>
    <row r="719" spans="1:7" x14ac:dyDescent="0.2">
      <c r="A719" s="44" t="s">
        <v>109</v>
      </c>
      <c r="B719" s="3" t="s">
        <v>290</v>
      </c>
      <c r="C719" s="19" t="s">
        <v>36</v>
      </c>
      <c r="D719" s="19" t="s">
        <v>15</v>
      </c>
      <c r="E719" s="19" t="s">
        <v>666</v>
      </c>
      <c r="F719" s="3" t="s">
        <v>104</v>
      </c>
      <c r="G719" s="32">
        <f>180217.2+48137.4+55670</f>
        <v>284024.59999999998</v>
      </c>
    </row>
    <row r="720" spans="1:7" x14ac:dyDescent="0.2">
      <c r="A720" s="9" t="s">
        <v>114</v>
      </c>
      <c r="B720" s="3" t="s">
        <v>290</v>
      </c>
      <c r="C720" s="3" t="s">
        <v>36</v>
      </c>
      <c r="D720" s="3" t="s">
        <v>7</v>
      </c>
      <c r="E720" s="3"/>
      <c r="F720" s="3"/>
      <c r="G720" s="32">
        <f>G721</f>
        <v>266085.3</v>
      </c>
    </row>
    <row r="721" spans="1:7" ht="30" x14ac:dyDescent="0.2">
      <c r="A721" s="56" t="s">
        <v>550</v>
      </c>
      <c r="B721" s="3" t="s">
        <v>290</v>
      </c>
      <c r="C721" s="3" t="s">
        <v>36</v>
      </c>
      <c r="D721" s="3" t="s">
        <v>7</v>
      </c>
      <c r="E721" s="57" t="s">
        <v>221</v>
      </c>
      <c r="F721" s="3"/>
      <c r="G721" s="32">
        <f>G722</f>
        <v>266085.3</v>
      </c>
    </row>
    <row r="722" spans="1:7" x14ac:dyDescent="0.2">
      <c r="A722" s="44" t="s">
        <v>226</v>
      </c>
      <c r="B722" s="3" t="s">
        <v>290</v>
      </c>
      <c r="C722" s="3" t="s">
        <v>36</v>
      </c>
      <c r="D722" s="3" t="s">
        <v>7</v>
      </c>
      <c r="E722" s="57" t="s">
        <v>227</v>
      </c>
      <c r="F722" s="3"/>
      <c r="G722" s="32">
        <f>G723</f>
        <v>266085.3</v>
      </c>
    </row>
    <row r="723" spans="1:7" ht="30" x14ac:dyDescent="0.2">
      <c r="A723" s="9" t="s">
        <v>660</v>
      </c>
      <c r="B723" s="3" t="s">
        <v>290</v>
      </c>
      <c r="C723" s="3" t="s">
        <v>36</v>
      </c>
      <c r="D723" s="3" t="s">
        <v>7</v>
      </c>
      <c r="E723" s="57" t="s">
        <v>663</v>
      </c>
      <c r="F723" s="3"/>
      <c r="G723" s="32">
        <f>G724+G726+G728</f>
        <v>266085.3</v>
      </c>
    </row>
    <row r="724" spans="1:7" ht="30" x14ac:dyDescent="0.2">
      <c r="A724" s="9" t="s">
        <v>661</v>
      </c>
      <c r="B724" s="3" t="s">
        <v>290</v>
      </c>
      <c r="C724" s="3" t="s">
        <v>36</v>
      </c>
      <c r="D724" s="3" t="s">
        <v>7</v>
      </c>
      <c r="E724" s="3" t="s">
        <v>664</v>
      </c>
      <c r="F724" s="3"/>
      <c r="G724" s="32">
        <f>G725</f>
        <v>8478.4</v>
      </c>
    </row>
    <row r="725" spans="1:7" x14ac:dyDescent="0.2">
      <c r="A725" s="9" t="s">
        <v>111</v>
      </c>
      <c r="B725" s="3" t="s">
        <v>290</v>
      </c>
      <c r="C725" s="3" t="s">
        <v>36</v>
      </c>
      <c r="D725" s="3" t="s">
        <v>7</v>
      </c>
      <c r="E725" s="3" t="s">
        <v>664</v>
      </c>
      <c r="F725" s="3" t="s">
        <v>105</v>
      </c>
      <c r="G725" s="32">
        <f>7702+776.4</f>
        <v>8478.4</v>
      </c>
    </row>
    <row r="726" spans="1:7" ht="30" x14ac:dyDescent="0.2">
      <c r="A726" s="9" t="s">
        <v>662</v>
      </c>
      <c r="B726" s="3" t="s">
        <v>290</v>
      </c>
      <c r="C726" s="19" t="s">
        <v>36</v>
      </c>
      <c r="D726" s="19" t="s">
        <v>7</v>
      </c>
      <c r="E726" s="3" t="s">
        <v>665</v>
      </c>
      <c r="F726" s="3"/>
      <c r="G726" s="32">
        <f>G727</f>
        <v>225501.9</v>
      </c>
    </row>
    <row r="727" spans="1:7" x14ac:dyDescent="0.2">
      <c r="A727" s="9" t="s">
        <v>111</v>
      </c>
      <c r="B727" s="3" t="s">
        <v>290</v>
      </c>
      <c r="C727" s="19" t="s">
        <v>36</v>
      </c>
      <c r="D727" s="19" t="s">
        <v>7</v>
      </c>
      <c r="E727" s="3" t="s">
        <v>665</v>
      </c>
      <c r="F727" s="3" t="s">
        <v>105</v>
      </c>
      <c r="G727" s="32">
        <v>225501.9</v>
      </c>
    </row>
    <row r="728" spans="1:7" ht="45" x14ac:dyDescent="0.2">
      <c r="A728" s="20" t="s">
        <v>687</v>
      </c>
      <c r="B728" s="5">
        <v>821</v>
      </c>
      <c r="C728" s="19" t="s">
        <v>36</v>
      </c>
      <c r="D728" s="19" t="s">
        <v>7</v>
      </c>
      <c r="E728" s="3" t="s">
        <v>688</v>
      </c>
      <c r="F728" s="19"/>
      <c r="G728" s="28">
        <f>G729</f>
        <v>32105</v>
      </c>
    </row>
    <row r="729" spans="1:7" x14ac:dyDescent="0.2">
      <c r="A729" s="18" t="s">
        <v>111</v>
      </c>
      <c r="B729" s="5">
        <v>821</v>
      </c>
      <c r="C729" s="19" t="s">
        <v>36</v>
      </c>
      <c r="D729" s="19" t="s">
        <v>7</v>
      </c>
      <c r="E729" s="3" t="s">
        <v>688</v>
      </c>
      <c r="F729" s="19" t="s">
        <v>105</v>
      </c>
      <c r="G729" s="28">
        <v>32105</v>
      </c>
    </row>
    <row r="730" spans="1:7" x14ac:dyDescent="0.2">
      <c r="A730" s="18"/>
      <c r="B730" s="10"/>
      <c r="C730" s="10"/>
      <c r="D730" s="10"/>
      <c r="E730" s="10"/>
      <c r="F730" s="10"/>
      <c r="G730" s="31"/>
    </row>
    <row r="731" spans="1:7" ht="42.75" x14ac:dyDescent="0.2">
      <c r="A731" s="6" t="s">
        <v>79</v>
      </c>
      <c r="B731" s="7" t="s">
        <v>291</v>
      </c>
      <c r="C731" s="7"/>
      <c r="D731" s="7"/>
      <c r="E731" s="7"/>
      <c r="F731" s="7"/>
      <c r="G731" s="79">
        <f>G732+G751+G785</f>
        <v>1002080.4999999999</v>
      </c>
    </row>
    <row r="732" spans="1:7" x14ac:dyDescent="0.2">
      <c r="A732" s="1" t="s">
        <v>5</v>
      </c>
      <c r="B732" s="3" t="s">
        <v>291</v>
      </c>
      <c r="C732" s="3" t="s">
        <v>6</v>
      </c>
      <c r="D732" s="3"/>
      <c r="E732" s="7"/>
      <c r="F732" s="7"/>
      <c r="G732" s="15">
        <f>G733+G741</f>
        <v>48278.799999999996</v>
      </c>
    </row>
    <row r="733" spans="1:7" ht="45" x14ac:dyDescent="0.2">
      <c r="A733" s="9" t="s">
        <v>26</v>
      </c>
      <c r="B733" s="3" t="s">
        <v>291</v>
      </c>
      <c r="C733" s="10" t="s">
        <v>6</v>
      </c>
      <c r="D733" s="10" t="s">
        <v>7</v>
      </c>
      <c r="E733" s="11"/>
      <c r="F733" s="10"/>
      <c r="G733" s="31">
        <f>G734</f>
        <v>10588.000000000002</v>
      </c>
    </row>
    <row r="734" spans="1:7" ht="30" x14ac:dyDescent="0.2">
      <c r="A734" s="44" t="s">
        <v>552</v>
      </c>
      <c r="B734" s="3" t="s">
        <v>291</v>
      </c>
      <c r="C734" s="19" t="s">
        <v>6</v>
      </c>
      <c r="D734" s="19" t="s">
        <v>7</v>
      </c>
      <c r="E734" s="3" t="s">
        <v>336</v>
      </c>
      <c r="F734" s="19"/>
      <c r="G734" s="47">
        <f>G735</f>
        <v>10588.000000000002</v>
      </c>
    </row>
    <row r="735" spans="1:7" ht="30" x14ac:dyDescent="0.2">
      <c r="A735" s="52" t="s">
        <v>265</v>
      </c>
      <c r="B735" s="3" t="s">
        <v>291</v>
      </c>
      <c r="C735" s="19" t="s">
        <v>6</v>
      </c>
      <c r="D735" s="19" t="s">
        <v>7</v>
      </c>
      <c r="E735" s="3" t="s">
        <v>360</v>
      </c>
      <c r="F735" s="19"/>
      <c r="G735" s="47">
        <f>G736</f>
        <v>10588.000000000002</v>
      </c>
    </row>
    <row r="736" spans="1:7" ht="30" x14ac:dyDescent="0.2">
      <c r="A736" s="44" t="s">
        <v>361</v>
      </c>
      <c r="B736" s="3" t="s">
        <v>291</v>
      </c>
      <c r="C736" s="19" t="s">
        <v>6</v>
      </c>
      <c r="D736" s="19" t="s">
        <v>7</v>
      </c>
      <c r="E736" s="3" t="s">
        <v>362</v>
      </c>
      <c r="F736" s="19"/>
      <c r="G736" s="47">
        <f>G737</f>
        <v>10588.000000000002</v>
      </c>
    </row>
    <row r="737" spans="1:7" x14ac:dyDescent="0.2">
      <c r="A737" s="44" t="s">
        <v>8</v>
      </c>
      <c r="B737" s="3" t="s">
        <v>291</v>
      </c>
      <c r="C737" s="19" t="s">
        <v>6</v>
      </c>
      <c r="D737" s="19" t="s">
        <v>7</v>
      </c>
      <c r="E737" s="3" t="s">
        <v>363</v>
      </c>
      <c r="F737" s="19"/>
      <c r="G737" s="47">
        <f>SUM(G738:G740)</f>
        <v>10588.000000000002</v>
      </c>
    </row>
    <row r="738" spans="1:7" ht="60" x14ac:dyDescent="0.2">
      <c r="A738" s="44" t="s">
        <v>108</v>
      </c>
      <c r="B738" s="3" t="s">
        <v>291</v>
      </c>
      <c r="C738" s="19" t="s">
        <v>6</v>
      </c>
      <c r="D738" s="19" t="s">
        <v>7</v>
      </c>
      <c r="E738" s="3" t="s">
        <v>363</v>
      </c>
      <c r="F738" s="19" t="s">
        <v>103</v>
      </c>
      <c r="G738" s="47">
        <f>6168.3+315.1+623.6+966+589.3</f>
        <v>8662.3000000000011</v>
      </c>
    </row>
    <row r="739" spans="1:7" ht="30" x14ac:dyDescent="0.2">
      <c r="A739" s="44" t="s">
        <v>102</v>
      </c>
      <c r="B739" s="3" t="s">
        <v>291</v>
      </c>
      <c r="C739" s="19" t="s">
        <v>6</v>
      </c>
      <c r="D739" s="19" t="s">
        <v>7</v>
      </c>
      <c r="E739" s="3" t="s">
        <v>363</v>
      </c>
      <c r="F739" s="19" t="s">
        <v>101</v>
      </c>
      <c r="G739" s="47">
        <f>1418.4+505.7</f>
        <v>1924.1000000000001</v>
      </c>
    </row>
    <row r="740" spans="1:7" x14ac:dyDescent="0.2">
      <c r="A740" s="44" t="s">
        <v>109</v>
      </c>
      <c r="B740" s="3" t="s">
        <v>291</v>
      </c>
      <c r="C740" s="19" t="s">
        <v>6</v>
      </c>
      <c r="D740" s="19" t="s">
        <v>7</v>
      </c>
      <c r="E740" s="3" t="s">
        <v>363</v>
      </c>
      <c r="F740" s="19" t="s">
        <v>104</v>
      </c>
      <c r="G740" s="47">
        <v>1.6</v>
      </c>
    </row>
    <row r="741" spans="1:7" x14ac:dyDescent="0.2">
      <c r="A741" s="1" t="s">
        <v>42</v>
      </c>
      <c r="B741" s="3" t="s">
        <v>291</v>
      </c>
      <c r="C741" s="3" t="s">
        <v>6</v>
      </c>
      <c r="D741" s="3" t="s">
        <v>50</v>
      </c>
      <c r="E741" s="3"/>
      <c r="F741" s="19"/>
      <c r="G741" s="47">
        <f>G746+G742</f>
        <v>37690.799999999996</v>
      </c>
    </row>
    <row r="742" spans="1:7" x14ac:dyDescent="0.2">
      <c r="A742" s="20" t="s">
        <v>115</v>
      </c>
      <c r="B742" s="3" t="s">
        <v>291</v>
      </c>
      <c r="C742" s="3" t="s">
        <v>6</v>
      </c>
      <c r="D742" s="3" t="s">
        <v>50</v>
      </c>
      <c r="E742" s="55" t="s">
        <v>122</v>
      </c>
      <c r="F742" s="19"/>
      <c r="G742" s="47">
        <f>G743</f>
        <v>37449.599999999999</v>
      </c>
    </row>
    <row r="743" spans="1:7" ht="30" x14ac:dyDescent="0.2">
      <c r="A743" s="45" t="s">
        <v>100</v>
      </c>
      <c r="B743" s="3" t="s">
        <v>291</v>
      </c>
      <c r="C743" s="3" t="s">
        <v>6</v>
      </c>
      <c r="D743" s="3" t="s">
        <v>50</v>
      </c>
      <c r="E743" s="19" t="s">
        <v>126</v>
      </c>
      <c r="F743" s="19"/>
      <c r="G743" s="47">
        <f>G744</f>
        <v>37449.599999999999</v>
      </c>
    </row>
    <row r="744" spans="1:7" ht="45" x14ac:dyDescent="0.2">
      <c r="A744" s="44" t="s">
        <v>751</v>
      </c>
      <c r="B744" s="3" t="s">
        <v>291</v>
      </c>
      <c r="C744" s="3" t="s">
        <v>6</v>
      </c>
      <c r="D744" s="3" t="s">
        <v>50</v>
      </c>
      <c r="E744" s="19" t="s">
        <v>752</v>
      </c>
      <c r="F744" s="19"/>
      <c r="G744" s="47">
        <f>G745</f>
        <v>37449.599999999999</v>
      </c>
    </row>
    <row r="745" spans="1:7" ht="30" x14ac:dyDescent="0.2">
      <c r="A745" s="44" t="s">
        <v>102</v>
      </c>
      <c r="B745" s="3" t="s">
        <v>291</v>
      </c>
      <c r="C745" s="3" t="s">
        <v>6</v>
      </c>
      <c r="D745" s="3" t="s">
        <v>50</v>
      </c>
      <c r="E745" s="19" t="s">
        <v>752</v>
      </c>
      <c r="F745" s="19" t="s">
        <v>101</v>
      </c>
      <c r="G745" s="47">
        <v>37449.599999999999</v>
      </c>
    </row>
    <row r="746" spans="1:7" ht="30" x14ac:dyDescent="0.2">
      <c r="A746" s="44" t="s">
        <v>552</v>
      </c>
      <c r="B746" s="3" t="s">
        <v>291</v>
      </c>
      <c r="C746" s="3" t="s">
        <v>6</v>
      </c>
      <c r="D746" s="3" t="s">
        <v>50</v>
      </c>
      <c r="E746" s="3" t="s">
        <v>336</v>
      </c>
      <c r="F746" s="19"/>
      <c r="G746" s="47">
        <f>G747</f>
        <v>241.2</v>
      </c>
    </row>
    <row r="747" spans="1:7" ht="30" x14ac:dyDescent="0.2">
      <c r="A747" s="52" t="s">
        <v>265</v>
      </c>
      <c r="B747" s="3" t="s">
        <v>291</v>
      </c>
      <c r="C747" s="3" t="s">
        <v>6</v>
      </c>
      <c r="D747" s="3" t="s">
        <v>50</v>
      </c>
      <c r="E747" s="3" t="s">
        <v>360</v>
      </c>
      <c r="F747" s="19"/>
      <c r="G747" s="47">
        <f>G748</f>
        <v>241.2</v>
      </c>
    </row>
    <row r="748" spans="1:7" ht="30" x14ac:dyDescent="0.2">
      <c r="A748" s="44" t="s">
        <v>361</v>
      </c>
      <c r="B748" s="3" t="s">
        <v>291</v>
      </c>
      <c r="C748" s="3" t="s">
        <v>6</v>
      </c>
      <c r="D748" s="3" t="s">
        <v>50</v>
      </c>
      <c r="E748" s="3" t="s">
        <v>362</v>
      </c>
      <c r="F748" s="19"/>
      <c r="G748" s="47">
        <f>G749</f>
        <v>241.2</v>
      </c>
    </row>
    <row r="749" spans="1:7" x14ac:dyDescent="0.2">
      <c r="A749" s="44" t="s">
        <v>94</v>
      </c>
      <c r="B749" s="3" t="s">
        <v>291</v>
      </c>
      <c r="C749" s="3" t="s">
        <v>6</v>
      </c>
      <c r="D749" s="3" t="s">
        <v>50</v>
      </c>
      <c r="E749" s="3" t="s">
        <v>364</v>
      </c>
      <c r="F749" s="19"/>
      <c r="G749" s="47">
        <f>G750</f>
        <v>241.2</v>
      </c>
    </row>
    <row r="750" spans="1:7" x14ac:dyDescent="0.2">
      <c r="A750" s="44" t="s">
        <v>109</v>
      </c>
      <c r="B750" s="3" t="s">
        <v>291</v>
      </c>
      <c r="C750" s="3" t="s">
        <v>6</v>
      </c>
      <c r="D750" s="3" t="s">
        <v>50</v>
      </c>
      <c r="E750" s="3" t="s">
        <v>364</v>
      </c>
      <c r="F750" s="19" t="s">
        <v>104</v>
      </c>
      <c r="G750" s="31">
        <v>241.2</v>
      </c>
    </row>
    <row r="751" spans="1:7" x14ac:dyDescent="0.2">
      <c r="A751" s="1" t="s">
        <v>29</v>
      </c>
      <c r="B751" s="3" t="s">
        <v>291</v>
      </c>
      <c r="C751" s="3" t="s">
        <v>30</v>
      </c>
      <c r="D751" s="3"/>
      <c r="E751" s="3"/>
      <c r="F751" s="19"/>
      <c r="G751" s="31">
        <f>G752+G773+G767</f>
        <v>856612.99999999988</v>
      </c>
    </row>
    <row r="752" spans="1:7" x14ac:dyDescent="0.2">
      <c r="A752" s="1" t="s">
        <v>468</v>
      </c>
      <c r="B752" s="3" t="s">
        <v>291</v>
      </c>
      <c r="C752" s="3" t="s">
        <v>30</v>
      </c>
      <c r="D752" s="3" t="s">
        <v>15</v>
      </c>
      <c r="E752" s="3"/>
      <c r="F752" s="3"/>
      <c r="G752" s="32">
        <f>G753</f>
        <v>807239.29999999993</v>
      </c>
    </row>
    <row r="753" spans="1:7" ht="30" x14ac:dyDescent="0.2">
      <c r="A753" s="44" t="s">
        <v>552</v>
      </c>
      <c r="B753" s="3" t="s">
        <v>291</v>
      </c>
      <c r="C753" s="19" t="s">
        <v>30</v>
      </c>
      <c r="D753" s="3" t="s">
        <v>15</v>
      </c>
      <c r="E753" s="3" t="s">
        <v>336</v>
      </c>
      <c r="F753" s="19"/>
      <c r="G753" s="28">
        <f>G754</f>
        <v>807239.29999999993</v>
      </c>
    </row>
    <row r="754" spans="1:7" ht="30" x14ac:dyDescent="0.2">
      <c r="A754" s="20" t="s">
        <v>266</v>
      </c>
      <c r="B754" s="3" t="s">
        <v>291</v>
      </c>
      <c r="C754" s="19" t="s">
        <v>30</v>
      </c>
      <c r="D754" s="3" t="s">
        <v>15</v>
      </c>
      <c r="E754" s="19" t="s">
        <v>365</v>
      </c>
      <c r="F754" s="19"/>
      <c r="G754" s="28">
        <f>G755+G758+G761+G764</f>
        <v>807239.29999999993</v>
      </c>
    </row>
    <row r="755" spans="1:7" s="24" customFormat="1" ht="30" x14ac:dyDescent="0.2">
      <c r="A755" s="20" t="s">
        <v>168</v>
      </c>
      <c r="B755" s="3" t="s">
        <v>291</v>
      </c>
      <c r="C755" s="19" t="s">
        <v>30</v>
      </c>
      <c r="D755" s="3" t="s">
        <v>15</v>
      </c>
      <c r="E755" s="19" t="s">
        <v>366</v>
      </c>
      <c r="F755" s="19"/>
      <c r="G755" s="28">
        <f>G756</f>
        <v>795100.7</v>
      </c>
    </row>
    <row r="756" spans="1:7" s="24" customFormat="1" ht="60" x14ac:dyDescent="0.2">
      <c r="A756" s="20" t="s">
        <v>267</v>
      </c>
      <c r="B756" s="3" t="s">
        <v>291</v>
      </c>
      <c r="C756" s="19" t="s">
        <v>30</v>
      </c>
      <c r="D756" s="3" t="s">
        <v>15</v>
      </c>
      <c r="E756" s="19" t="s">
        <v>367</v>
      </c>
      <c r="F756" s="19"/>
      <c r="G756" s="28">
        <f>G757</f>
        <v>795100.7</v>
      </c>
    </row>
    <row r="757" spans="1:7" s="24" customFormat="1" ht="30" x14ac:dyDescent="0.2">
      <c r="A757" s="20" t="s">
        <v>112</v>
      </c>
      <c r="B757" s="3" t="s">
        <v>291</v>
      </c>
      <c r="C757" s="19" t="s">
        <v>30</v>
      </c>
      <c r="D757" s="3" t="s">
        <v>15</v>
      </c>
      <c r="E757" s="19" t="s">
        <v>367</v>
      </c>
      <c r="F757" s="19" t="s">
        <v>107</v>
      </c>
      <c r="G757" s="28">
        <f>766158.1+28942.6</f>
        <v>795100.7</v>
      </c>
    </row>
    <row r="758" spans="1:7" s="24" customFormat="1" ht="30" x14ac:dyDescent="0.2">
      <c r="A758" s="20" t="s">
        <v>175</v>
      </c>
      <c r="B758" s="3" t="s">
        <v>291</v>
      </c>
      <c r="C758" s="19" t="s">
        <v>30</v>
      </c>
      <c r="D758" s="3" t="s">
        <v>15</v>
      </c>
      <c r="E758" s="19" t="s">
        <v>368</v>
      </c>
      <c r="F758" s="19"/>
      <c r="G758" s="28">
        <f>G759</f>
        <v>10933.5</v>
      </c>
    </row>
    <row r="759" spans="1:7" s="24" customFormat="1" ht="45" x14ac:dyDescent="0.2">
      <c r="A759" s="20" t="s">
        <v>346</v>
      </c>
      <c r="B759" s="3" t="s">
        <v>291</v>
      </c>
      <c r="C759" s="19" t="s">
        <v>30</v>
      </c>
      <c r="D759" s="3" t="s">
        <v>15</v>
      </c>
      <c r="E759" s="19" t="s">
        <v>369</v>
      </c>
      <c r="F759" s="19"/>
      <c r="G759" s="28">
        <f>G760</f>
        <v>10933.5</v>
      </c>
    </row>
    <row r="760" spans="1:7" s="24" customFormat="1" ht="30" x14ac:dyDescent="0.2">
      <c r="A760" s="20" t="s">
        <v>112</v>
      </c>
      <c r="B760" s="3" t="s">
        <v>291</v>
      </c>
      <c r="C760" s="19" t="s">
        <v>30</v>
      </c>
      <c r="D760" s="3" t="s">
        <v>15</v>
      </c>
      <c r="E760" s="19" t="s">
        <v>369</v>
      </c>
      <c r="F760" s="19" t="s">
        <v>107</v>
      </c>
      <c r="G760" s="28">
        <f>1843.9+4678.1+800+3611.5</f>
        <v>10933.5</v>
      </c>
    </row>
    <row r="761" spans="1:7" s="24" customFormat="1" ht="60" x14ac:dyDescent="0.2">
      <c r="A761" s="20" t="s">
        <v>592</v>
      </c>
      <c r="B761" s="3" t="s">
        <v>291</v>
      </c>
      <c r="C761" s="19" t="s">
        <v>30</v>
      </c>
      <c r="D761" s="19" t="s">
        <v>15</v>
      </c>
      <c r="E761" s="19" t="s">
        <v>594</v>
      </c>
      <c r="F761" s="19"/>
      <c r="G761" s="28">
        <f>G762</f>
        <v>204.9</v>
      </c>
    </row>
    <row r="762" spans="1:7" s="24" customFormat="1" ht="60" x14ac:dyDescent="0.2">
      <c r="A762" s="20" t="s">
        <v>593</v>
      </c>
      <c r="B762" s="3" t="s">
        <v>291</v>
      </c>
      <c r="C762" s="19" t="s">
        <v>30</v>
      </c>
      <c r="D762" s="19" t="s">
        <v>15</v>
      </c>
      <c r="E762" s="19" t="s">
        <v>595</v>
      </c>
      <c r="F762" s="19"/>
      <c r="G762" s="28">
        <f>G763</f>
        <v>204.9</v>
      </c>
    </row>
    <row r="763" spans="1:7" s="24" customFormat="1" ht="30" x14ac:dyDescent="0.2">
      <c r="A763" s="20" t="s">
        <v>112</v>
      </c>
      <c r="B763" s="3" t="s">
        <v>291</v>
      </c>
      <c r="C763" s="19" t="s">
        <v>30</v>
      </c>
      <c r="D763" s="19" t="s">
        <v>15</v>
      </c>
      <c r="E763" s="19" t="s">
        <v>595</v>
      </c>
      <c r="F763" s="19" t="s">
        <v>107</v>
      </c>
      <c r="G763" s="28">
        <v>204.9</v>
      </c>
    </row>
    <row r="764" spans="1:7" s="24" customFormat="1" ht="60" x14ac:dyDescent="0.2">
      <c r="A764" s="20" t="s">
        <v>596</v>
      </c>
      <c r="B764" s="3" t="s">
        <v>291</v>
      </c>
      <c r="C764" s="19" t="s">
        <v>30</v>
      </c>
      <c r="D764" s="19" t="s">
        <v>15</v>
      </c>
      <c r="E764" s="19" t="s">
        <v>598</v>
      </c>
      <c r="F764" s="19"/>
      <c r="G764" s="28">
        <f>G765</f>
        <v>1000.2</v>
      </c>
    </row>
    <row r="765" spans="1:7" s="24" customFormat="1" ht="60" x14ac:dyDescent="0.2">
      <c r="A765" s="20" t="s">
        <v>597</v>
      </c>
      <c r="B765" s="3" t="s">
        <v>291</v>
      </c>
      <c r="C765" s="19" t="s">
        <v>30</v>
      </c>
      <c r="D765" s="19" t="s">
        <v>15</v>
      </c>
      <c r="E765" s="19" t="s">
        <v>599</v>
      </c>
      <c r="F765" s="19"/>
      <c r="G765" s="28">
        <f>G766</f>
        <v>1000.2</v>
      </c>
    </row>
    <row r="766" spans="1:7" s="24" customFormat="1" ht="30" x14ac:dyDescent="0.2">
      <c r="A766" s="20" t="s">
        <v>112</v>
      </c>
      <c r="B766" s="3" t="s">
        <v>291</v>
      </c>
      <c r="C766" s="19" t="s">
        <v>30</v>
      </c>
      <c r="D766" s="19" t="s">
        <v>15</v>
      </c>
      <c r="E766" s="19" t="s">
        <v>599</v>
      </c>
      <c r="F766" s="19" t="s">
        <v>107</v>
      </c>
      <c r="G766" s="28">
        <v>1000.2</v>
      </c>
    </row>
    <row r="767" spans="1:7" s="24" customFormat="1" x14ac:dyDescent="0.2">
      <c r="A767" s="1" t="s">
        <v>273</v>
      </c>
      <c r="B767" s="3" t="s">
        <v>291</v>
      </c>
      <c r="C767" s="3" t="s">
        <v>30</v>
      </c>
      <c r="D767" s="3" t="s">
        <v>30</v>
      </c>
      <c r="E767" s="3"/>
      <c r="F767" s="3"/>
      <c r="G767" s="32">
        <f>G768</f>
        <v>23410.1</v>
      </c>
    </row>
    <row r="768" spans="1:7" s="24" customFormat="1" ht="45" x14ac:dyDescent="0.2">
      <c r="A768" s="1" t="s">
        <v>733</v>
      </c>
      <c r="B768" s="3" t="s">
        <v>291</v>
      </c>
      <c r="C768" s="3" t="s">
        <v>30</v>
      </c>
      <c r="D768" s="3" t="s">
        <v>30</v>
      </c>
      <c r="E768" s="3" t="s">
        <v>739</v>
      </c>
      <c r="F768" s="3"/>
      <c r="G768" s="32">
        <f>G769</f>
        <v>23410.1</v>
      </c>
    </row>
    <row r="769" spans="1:7" s="24" customFormat="1" ht="30" x14ac:dyDescent="0.2">
      <c r="A769" s="1" t="s">
        <v>753</v>
      </c>
      <c r="B769" s="3" t="s">
        <v>291</v>
      </c>
      <c r="C769" s="3" t="s">
        <v>30</v>
      </c>
      <c r="D769" s="3" t="s">
        <v>30</v>
      </c>
      <c r="E769" s="3" t="s">
        <v>756</v>
      </c>
      <c r="F769" s="3"/>
      <c r="G769" s="32">
        <f>G770</f>
        <v>23410.1</v>
      </c>
    </row>
    <row r="770" spans="1:7" s="24" customFormat="1" ht="45" x14ac:dyDescent="0.2">
      <c r="A770" s="1" t="s">
        <v>754</v>
      </c>
      <c r="B770" s="3" t="s">
        <v>291</v>
      </c>
      <c r="C770" s="3" t="s">
        <v>30</v>
      </c>
      <c r="D770" s="3" t="s">
        <v>30</v>
      </c>
      <c r="E770" s="3" t="s">
        <v>757</v>
      </c>
      <c r="F770" s="3"/>
      <c r="G770" s="32">
        <f>G771</f>
        <v>23410.1</v>
      </c>
    </row>
    <row r="771" spans="1:7" s="24" customFormat="1" ht="45" x14ac:dyDescent="0.2">
      <c r="A771" s="1" t="s">
        <v>755</v>
      </c>
      <c r="B771" s="3" t="s">
        <v>291</v>
      </c>
      <c r="C771" s="3" t="s">
        <v>30</v>
      </c>
      <c r="D771" s="3" t="s">
        <v>30</v>
      </c>
      <c r="E771" s="3" t="s">
        <v>758</v>
      </c>
      <c r="F771" s="3"/>
      <c r="G771" s="32">
        <f>G772</f>
        <v>23410.1</v>
      </c>
    </row>
    <row r="772" spans="1:7" ht="30" x14ac:dyDescent="0.2">
      <c r="A772" s="1" t="s">
        <v>112</v>
      </c>
      <c r="B772" s="3" t="s">
        <v>291</v>
      </c>
      <c r="C772" s="3" t="s">
        <v>30</v>
      </c>
      <c r="D772" s="3" t="s">
        <v>30</v>
      </c>
      <c r="E772" s="3" t="s">
        <v>759</v>
      </c>
      <c r="F772" s="3" t="s">
        <v>107</v>
      </c>
      <c r="G772" s="32">
        <v>23410.1</v>
      </c>
    </row>
    <row r="773" spans="1:7" s="24" customFormat="1" x14ac:dyDescent="0.2">
      <c r="A773" s="1" t="s">
        <v>34</v>
      </c>
      <c r="B773" s="3" t="s">
        <v>291</v>
      </c>
      <c r="C773" s="3" t="s">
        <v>30</v>
      </c>
      <c r="D773" s="3" t="s">
        <v>17</v>
      </c>
      <c r="E773" s="19"/>
      <c r="F773" s="19"/>
      <c r="G773" s="28">
        <f>G779+G774</f>
        <v>25963.599999999999</v>
      </c>
    </row>
    <row r="774" spans="1:7" s="24" customFormat="1" ht="45" x14ac:dyDescent="0.2">
      <c r="A774" s="20" t="s">
        <v>733</v>
      </c>
      <c r="B774" s="3" t="s">
        <v>291</v>
      </c>
      <c r="C774" s="19" t="s">
        <v>30</v>
      </c>
      <c r="D774" s="19" t="s">
        <v>17</v>
      </c>
      <c r="E774" s="19" t="s">
        <v>739</v>
      </c>
      <c r="F774" s="19"/>
      <c r="G774" s="28">
        <f>G775</f>
        <v>10175</v>
      </c>
    </row>
    <row r="775" spans="1:7" s="24" customFormat="1" ht="30" x14ac:dyDescent="0.2">
      <c r="A775" s="20" t="s">
        <v>769</v>
      </c>
      <c r="B775" s="3" t="s">
        <v>291</v>
      </c>
      <c r="C775" s="19" t="s">
        <v>30</v>
      </c>
      <c r="D775" s="19" t="s">
        <v>17</v>
      </c>
      <c r="E775" s="19" t="s">
        <v>772</v>
      </c>
      <c r="F775" s="19"/>
      <c r="G775" s="28">
        <f>G776</f>
        <v>10175</v>
      </c>
    </row>
    <row r="776" spans="1:7" s="24" customFormat="1" ht="30" x14ac:dyDescent="0.2">
      <c r="A776" s="20" t="s">
        <v>770</v>
      </c>
      <c r="B776" s="3" t="s">
        <v>291</v>
      </c>
      <c r="C776" s="19" t="s">
        <v>30</v>
      </c>
      <c r="D776" s="19" t="s">
        <v>17</v>
      </c>
      <c r="E776" s="19" t="s">
        <v>773</v>
      </c>
      <c r="F776" s="19"/>
      <c r="G776" s="28">
        <f>G777</f>
        <v>10175</v>
      </c>
    </row>
    <row r="777" spans="1:7" s="24" customFormat="1" x14ac:dyDescent="0.2">
      <c r="A777" s="20" t="s">
        <v>771</v>
      </c>
      <c r="B777" s="3" t="s">
        <v>291</v>
      </c>
      <c r="C777" s="19" t="s">
        <v>30</v>
      </c>
      <c r="D777" s="19" t="s">
        <v>17</v>
      </c>
      <c r="E777" s="19" t="s">
        <v>774</v>
      </c>
      <c r="F777" s="19"/>
      <c r="G777" s="28">
        <f>G778</f>
        <v>10175</v>
      </c>
    </row>
    <row r="778" spans="1:7" s="24" customFormat="1" ht="30" x14ac:dyDescent="0.2">
      <c r="A778" s="20" t="s">
        <v>112</v>
      </c>
      <c r="B778" s="3" t="s">
        <v>291</v>
      </c>
      <c r="C778" s="19" t="s">
        <v>30</v>
      </c>
      <c r="D778" s="19" t="s">
        <v>17</v>
      </c>
      <c r="E778" s="19" t="s">
        <v>774</v>
      </c>
      <c r="F778" s="19" t="s">
        <v>107</v>
      </c>
      <c r="G778" s="28">
        <f>3261.2+6913.8</f>
        <v>10175</v>
      </c>
    </row>
    <row r="779" spans="1:7" s="24" customFormat="1" ht="30" x14ac:dyDescent="0.2">
      <c r="A779" s="44" t="s">
        <v>552</v>
      </c>
      <c r="B779" s="3" t="s">
        <v>291</v>
      </c>
      <c r="C779" s="19" t="s">
        <v>30</v>
      </c>
      <c r="D779" s="19" t="s">
        <v>17</v>
      </c>
      <c r="E779" s="19" t="s">
        <v>336</v>
      </c>
      <c r="F779" s="19"/>
      <c r="G779" s="28">
        <f>G780</f>
        <v>15788.6</v>
      </c>
    </row>
    <row r="780" spans="1:7" ht="30" x14ac:dyDescent="0.2">
      <c r="A780" s="9" t="s">
        <v>265</v>
      </c>
      <c r="B780" s="3" t="s">
        <v>291</v>
      </c>
      <c r="C780" s="19" t="s">
        <v>30</v>
      </c>
      <c r="D780" s="19" t="s">
        <v>17</v>
      </c>
      <c r="E780" s="19" t="s">
        <v>360</v>
      </c>
      <c r="F780" s="19"/>
      <c r="G780" s="28">
        <f>G781</f>
        <v>15788.6</v>
      </c>
    </row>
    <row r="781" spans="1:7" ht="30" x14ac:dyDescent="0.2">
      <c r="A781" s="9" t="s">
        <v>268</v>
      </c>
      <c r="B781" s="3" t="s">
        <v>291</v>
      </c>
      <c r="C781" s="19" t="s">
        <v>30</v>
      </c>
      <c r="D781" s="19" t="s">
        <v>17</v>
      </c>
      <c r="E781" s="19" t="s">
        <v>362</v>
      </c>
      <c r="F781" s="19"/>
      <c r="G781" s="28">
        <f>G782</f>
        <v>15788.6</v>
      </c>
    </row>
    <row r="782" spans="1:7" x14ac:dyDescent="0.2">
      <c r="A782" s="44" t="s">
        <v>219</v>
      </c>
      <c r="B782" s="3" t="s">
        <v>291</v>
      </c>
      <c r="C782" s="19" t="s">
        <v>30</v>
      </c>
      <c r="D782" s="19" t="s">
        <v>17</v>
      </c>
      <c r="E782" s="19" t="s">
        <v>370</v>
      </c>
      <c r="F782" s="19"/>
      <c r="G782" s="28">
        <f>G783+G784</f>
        <v>15788.6</v>
      </c>
    </row>
    <row r="783" spans="1:7" ht="60" x14ac:dyDescent="0.2">
      <c r="A783" s="44" t="s">
        <v>108</v>
      </c>
      <c r="B783" s="3" t="s">
        <v>291</v>
      </c>
      <c r="C783" s="19" t="s">
        <v>30</v>
      </c>
      <c r="D783" s="19" t="s">
        <v>17</v>
      </c>
      <c r="E783" s="19" t="s">
        <v>370</v>
      </c>
      <c r="F783" s="19" t="s">
        <v>103</v>
      </c>
      <c r="G783" s="28">
        <f>8690.6+1146.3+1750.8+2335.3</f>
        <v>13923</v>
      </c>
    </row>
    <row r="784" spans="1:7" ht="30" x14ac:dyDescent="0.2">
      <c r="A784" s="44" t="s">
        <v>102</v>
      </c>
      <c r="B784" s="3" t="s">
        <v>291</v>
      </c>
      <c r="C784" s="19" t="s">
        <v>30</v>
      </c>
      <c r="D784" s="19" t="s">
        <v>17</v>
      </c>
      <c r="E784" s="19" t="s">
        <v>370</v>
      </c>
      <c r="F784" s="19" t="s">
        <v>101</v>
      </c>
      <c r="G784" s="28">
        <v>1865.6</v>
      </c>
    </row>
    <row r="785" spans="1:7" x14ac:dyDescent="0.2">
      <c r="A785" s="1" t="s">
        <v>28</v>
      </c>
      <c r="B785" s="3" t="s">
        <v>291</v>
      </c>
      <c r="C785" s="3" t="s">
        <v>47</v>
      </c>
      <c r="D785" s="3"/>
      <c r="E785" s="3"/>
      <c r="F785" s="3"/>
      <c r="G785" s="32">
        <f>G786+G805</f>
        <v>97188.7</v>
      </c>
    </row>
    <row r="786" spans="1:7" x14ac:dyDescent="0.2">
      <c r="A786" s="1" t="s">
        <v>53</v>
      </c>
      <c r="B786" s="3" t="s">
        <v>291</v>
      </c>
      <c r="C786" s="3" t="s">
        <v>47</v>
      </c>
      <c r="D786" s="3" t="s">
        <v>6</v>
      </c>
      <c r="E786" s="3"/>
      <c r="F786" s="3"/>
      <c r="G786" s="32">
        <f>G791+G787</f>
        <v>80987.7</v>
      </c>
    </row>
    <row r="787" spans="1:7" x14ac:dyDescent="0.2">
      <c r="A787" s="9" t="s">
        <v>115</v>
      </c>
      <c r="B787" s="3" t="s">
        <v>291</v>
      </c>
      <c r="C787" s="3" t="s">
        <v>47</v>
      </c>
      <c r="D787" s="3" t="s">
        <v>6</v>
      </c>
      <c r="E787" s="57" t="s">
        <v>122</v>
      </c>
      <c r="F787" s="3"/>
      <c r="G787" s="32">
        <f>G788</f>
        <v>481.8</v>
      </c>
    </row>
    <row r="788" spans="1:7" ht="30" x14ac:dyDescent="0.2">
      <c r="A788" s="44" t="s">
        <v>100</v>
      </c>
      <c r="B788" s="3" t="s">
        <v>291</v>
      </c>
      <c r="C788" s="3" t="s">
        <v>47</v>
      </c>
      <c r="D788" s="3" t="s">
        <v>6</v>
      </c>
      <c r="E788" s="57" t="s">
        <v>126</v>
      </c>
      <c r="F788" s="19"/>
      <c r="G788" s="32">
        <f>G789</f>
        <v>481.8</v>
      </c>
    </row>
    <row r="789" spans="1:7" ht="45" x14ac:dyDescent="0.2">
      <c r="A789" s="20" t="s">
        <v>751</v>
      </c>
      <c r="B789" s="3" t="s">
        <v>291</v>
      </c>
      <c r="C789" s="3" t="s">
        <v>47</v>
      </c>
      <c r="D789" s="3" t="s">
        <v>6</v>
      </c>
      <c r="E789" s="57" t="s">
        <v>752</v>
      </c>
      <c r="F789" s="19"/>
      <c r="G789" s="32">
        <f>G790</f>
        <v>481.8</v>
      </c>
    </row>
    <row r="790" spans="1:7" ht="30" x14ac:dyDescent="0.2">
      <c r="A790" s="20" t="s">
        <v>112</v>
      </c>
      <c r="B790" s="3" t="s">
        <v>291</v>
      </c>
      <c r="C790" s="3" t="s">
        <v>47</v>
      </c>
      <c r="D790" s="3" t="s">
        <v>6</v>
      </c>
      <c r="E790" s="57" t="s">
        <v>752</v>
      </c>
      <c r="F790" s="19" t="s">
        <v>107</v>
      </c>
      <c r="G790" s="32">
        <v>481.8</v>
      </c>
    </row>
    <row r="791" spans="1:7" ht="30" x14ac:dyDescent="0.2">
      <c r="A791" s="44" t="s">
        <v>552</v>
      </c>
      <c r="B791" s="3" t="s">
        <v>291</v>
      </c>
      <c r="C791" s="3" t="s">
        <v>47</v>
      </c>
      <c r="D791" s="3" t="s">
        <v>6</v>
      </c>
      <c r="E791" s="3" t="s">
        <v>336</v>
      </c>
      <c r="F791" s="3"/>
      <c r="G791" s="32">
        <f>G792</f>
        <v>80505.899999999994</v>
      </c>
    </row>
    <row r="792" spans="1:7" ht="30" x14ac:dyDescent="0.2">
      <c r="A792" s="9" t="s">
        <v>152</v>
      </c>
      <c r="B792" s="3" t="s">
        <v>291</v>
      </c>
      <c r="C792" s="3" t="s">
        <v>47</v>
      </c>
      <c r="D792" s="3" t="s">
        <v>6</v>
      </c>
      <c r="E792" s="3" t="s">
        <v>341</v>
      </c>
      <c r="F792" s="3"/>
      <c r="G792" s="32">
        <f>G793+G796+G799+G802</f>
        <v>80505.899999999994</v>
      </c>
    </row>
    <row r="793" spans="1:7" ht="30" x14ac:dyDescent="0.2">
      <c r="A793" s="20" t="s">
        <v>269</v>
      </c>
      <c r="B793" s="3" t="s">
        <v>291</v>
      </c>
      <c r="C793" s="3" t="s">
        <v>47</v>
      </c>
      <c r="D793" s="3" t="s">
        <v>6</v>
      </c>
      <c r="E793" s="3" t="s">
        <v>371</v>
      </c>
      <c r="F793" s="3"/>
      <c r="G793" s="32">
        <f>G794</f>
        <v>79865.5</v>
      </c>
    </row>
    <row r="794" spans="1:7" ht="45" x14ac:dyDescent="0.2">
      <c r="A794" s="20" t="s">
        <v>270</v>
      </c>
      <c r="B794" s="3" t="s">
        <v>291</v>
      </c>
      <c r="C794" s="3" t="s">
        <v>47</v>
      </c>
      <c r="D794" s="3" t="s">
        <v>6</v>
      </c>
      <c r="E794" s="3" t="s">
        <v>372</v>
      </c>
      <c r="F794" s="3"/>
      <c r="G794" s="32">
        <f>G795</f>
        <v>79865.5</v>
      </c>
    </row>
    <row r="795" spans="1:7" ht="30" x14ac:dyDescent="0.2">
      <c r="A795" s="20" t="s">
        <v>112</v>
      </c>
      <c r="B795" s="3" t="s">
        <v>291</v>
      </c>
      <c r="C795" s="3" t="s">
        <v>47</v>
      </c>
      <c r="D795" s="3" t="s">
        <v>6</v>
      </c>
      <c r="E795" s="3" t="s">
        <v>372</v>
      </c>
      <c r="F795" s="3" t="s">
        <v>107</v>
      </c>
      <c r="G795" s="32">
        <f>76318.6+3546.9</f>
        <v>79865.5</v>
      </c>
    </row>
    <row r="796" spans="1:7" ht="30" x14ac:dyDescent="0.2">
      <c r="A796" s="20" t="s">
        <v>175</v>
      </c>
      <c r="B796" s="3" t="s">
        <v>291</v>
      </c>
      <c r="C796" s="3" t="s">
        <v>47</v>
      </c>
      <c r="D796" s="3" t="s">
        <v>6</v>
      </c>
      <c r="E796" s="3" t="s">
        <v>373</v>
      </c>
      <c r="F796" s="3"/>
      <c r="G796" s="32">
        <f>G797</f>
        <v>540</v>
      </c>
    </row>
    <row r="797" spans="1:7" ht="45" x14ac:dyDescent="0.2">
      <c r="A797" s="20" t="s">
        <v>346</v>
      </c>
      <c r="B797" s="3" t="s">
        <v>291</v>
      </c>
      <c r="C797" s="3" t="s">
        <v>47</v>
      </c>
      <c r="D797" s="3" t="s">
        <v>6</v>
      </c>
      <c r="E797" s="3" t="s">
        <v>374</v>
      </c>
      <c r="F797" s="3"/>
      <c r="G797" s="32">
        <f>G798</f>
        <v>540</v>
      </c>
    </row>
    <row r="798" spans="1:7" ht="30" x14ac:dyDescent="0.2">
      <c r="A798" s="20" t="s">
        <v>112</v>
      </c>
      <c r="B798" s="3" t="s">
        <v>291</v>
      </c>
      <c r="C798" s="3" t="s">
        <v>47</v>
      </c>
      <c r="D798" s="3" t="s">
        <v>6</v>
      </c>
      <c r="E798" s="3" t="s">
        <v>374</v>
      </c>
      <c r="F798" s="3" t="s">
        <v>107</v>
      </c>
      <c r="G798" s="32">
        <v>540</v>
      </c>
    </row>
    <row r="799" spans="1:7" ht="45" x14ac:dyDescent="0.2">
      <c r="A799" s="20" t="s">
        <v>582</v>
      </c>
      <c r="B799" s="3" t="s">
        <v>291</v>
      </c>
      <c r="C799" s="3" t="s">
        <v>47</v>
      </c>
      <c r="D799" s="3" t="s">
        <v>6</v>
      </c>
      <c r="E799" s="3" t="s">
        <v>587</v>
      </c>
      <c r="F799" s="3"/>
      <c r="G799" s="32">
        <f>G800</f>
        <v>60</v>
      </c>
    </row>
    <row r="800" spans="1:7" ht="45" x14ac:dyDescent="0.2">
      <c r="A800" s="20" t="s">
        <v>583</v>
      </c>
      <c r="B800" s="3" t="s">
        <v>291</v>
      </c>
      <c r="C800" s="3" t="s">
        <v>47</v>
      </c>
      <c r="D800" s="3" t="s">
        <v>6</v>
      </c>
      <c r="E800" s="3" t="s">
        <v>588</v>
      </c>
      <c r="F800" s="3"/>
      <c r="G800" s="32">
        <f>G801</f>
        <v>60</v>
      </c>
    </row>
    <row r="801" spans="1:7" ht="30" x14ac:dyDescent="0.2">
      <c r="A801" s="20" t="s">
        <v>584</v>
      </c>
      <c r="B801" s="3" t="s">
        <v>291</v>
      </c>
      <c r="C801" s="3" t="s">
        <v>47</v>
      </c>
      <c r="D801" s="3" t="s">
        <v>6</v>
      </c>
      <c r="E801" s="3" t="s">
        <v>588</v>
      </c>
      <c r="F801" s="3" t="s">
        <v>107</v>
      </c>
      <c r="G801" s="32">
        <v>60</v>
      </c>
    </row>
    <row r="802" spans="1:7" ht="45" x14ac:dyDescent="0.2">
      <c r="A802" s="20" t="s">
        <v>585</v>
      </c>
      <c r="B802" s="3" t="s">
        <v>291</v>
      </c>
      <c r="C802" s="3" t="s">
        <v>47</v>
      </c>
      <c r="D802" s="3" t="s">
        <v>6</v>
      </c>
      <c r="E802" s="3" t="s">
        <v>589</v>
      </c>
      <c r="F802" s="3"/>
      <c r="G802" s="32">
        <f>G803</f>
        <v>40.4</v>
      </c>
    </row>
    <row r="803" spans="1:7" ht="45" x14ac:dyDescent="0.2">
      <c r="A803" s="20" t="s">
        <v>586</v>
      </c>
      <c r="B803" s="3" t="s">
        <v>291</v>
      </c>
      <c r="C803" s="3" t="s">
        <v>47</v>
      </c>
      <c r="D803" s="3" t="s">
        <v>6</v>
      </c>
      <c r="E803" s="3" t="s">
        <v>590</v>
      </c>
      <c r="F803" s="3"/>
      <c r="G803" s="32">
        <f>G804</f>
        <v>40.4</v>
      </c>
    </row>
    <row r="804" spans="1:7" ht="30" x14ac:dyDescent="0.2">
      <c r="A804" s="20" t="s">
        <v>584</v>
      </c>
      <c r="B804" s="3" t="s">
        <v>291</v>
      </c>
      <c r="C804" s="3" t="s">
        <v>47</v>
      </c>
      <c r="D804" s="3" t="s">
        <v>6</v>
      </c>
      <c r="E804" s="3" t="s">
        <v>590</v>
      </c>
      <c r="F804" s="3" t="s">
        <v>107</v>
      </c>
      <c r="G804" s="32">
        <v>40.4</v>
      </c>
    </row>
    <row r="805" spans="1:7" x14ac:dyDescent="0.2">
      <c r="A805" s="45" t="s">
        <v>52</v>
      </c>
      <c r="B805" s="3" t="s">
        <v>291</v>
      </c>
      <c r="C805" s="3" t="s">
        <v>47</v>
      </c>
      <c r="D805" s="3" t="s">
        <v>16</v>
      </c>
      <c r="E805" s="3"/>
      <c r="F805" s="3"/>
      <c r="G805" s="32">
        <f>G806</f>
        <v>16201</v>
      </c>
    </row>
    <row r="806" spans="1:7" ht="30" x14ac:dyDescent="0.2">
      <c r="A806" s="44" t="s">
        <v>552</v>
      </c>
      <c r="B806" s="3" t="s">
        <v>291</v>
      </c>
      <c r="C806" s="19" t="s">
        <v>47</v>
      </c>
      <c r="D806" s="19" t="s">
        <v>16</v>
      </c>
      <c r="E806" s="3" t="s">
        <v>336</v>
      </c>
      <c r="F806" s="19"/>
      <c r="G806" s="28">
        <f>G807</f>
        <v>16201</v>
      </c>
    </row>
    <row r="807" spans="1:7" ht="30" x14ac:dyDescent="0.2">
      <c r="A807" s="9" t="s">
        <v>152</v>
      </c>
      <c r="B807" s="3" t="s">
        <v>291</v>
      </c>
      <c r="C807" s="19" t="s">
        <v>47</v>
      </c>
      <c r="D807" s="19" t="s">
        <v>16</v>
      </c>
      <c r="E807" s="3" t="s">
        <v>341</v>
      </c>
      <c r="F807" s="19"/>
      <c r="G807" s="47">
        <f>G808</f>
        <v>16201</v>
      </c>
    </row>
    <row r="808" spans="1:7" ht="30" x14ac:dyDescent="0.2">
      <c r="A808" s="44" t="s">
        <v>153</v>
      </c>
      <c r="B808" s="3" t="s">
        <v>291</v>
      </c>
      <c r="C808" s="19" t="s">
        <v>47</v>
      </c>
      <c r="D808" s="19" t="s">
        <v>16</v>
      </c>
      <c r="E808" s="3" t="s">
        <v>375</v>
      </c>
      <c r="F808" s="19"/>
      <c r="G808" s="47">
        <f>G809</f>
        <v>16201</v>
      </c>
    </row>
    <row r="809" spans="1:7" ht="30" x14ac:dyDescent="0.2">
      <c r="A809" s="44" t="s">
        <v>135</v>
      </c>
      <c r="B809" s="3" t="s">
        <v>291</v>
      </c>
      <c r="C809" s="19" t="s">
        <v>47</v>
      </c>
      <c r="D809" s="19" t="s">
        <v>16</v>
      </c>
      <c r="E809" s="3" t="s">
        <v>376</v>
      </c>
      <c r="F809" s="19"/>
      <c r="G809" s="47">
        <f>G810+G811</f>
        <v>16201</v>
      </c>
    </row>
    <row r="810" spans="1:7" ht="30" x14ac:dyDescent="0.2">
      <c r="A810" s="44" t="s">
        <v>102</v>
      </c>
      <c r="B810" s="3" t="s">
        <v>291</v>
      </c>
      <c r="C810" s="19" t="s">
        <v>47</v>
      </c>
      <c r="D810" s="19" t="s">
        <v>16</v>
      </c>
      <c r="E810" s="3" t="s">
        <v>376</v>
      </c>
      <c r="F810" s="19" t="s">
        <v>101</v>
      </c>
      <c r="G810" s="47">
        <v>15975.3</v>
      </c>
    </row>
    <row r="811" spans="1:7" x14ac:dyDescent="0.2">
      <c r="A811" s="9" t="s">
        <v>111</v>
      </c>
      <c r="B811" s="3" t="s">
        <v>291</v>
      </c>
      <c r="C811" s="19" t="s">
        <v>47</v>
      </c>
      <c r="D811" s="19" t="s">
        <v>16</v>
      </c>
      <c r="E811" s="3" t="s">
        <v>376</v>
      </c>
      <c r="F811" s="19" t="s">
        <v>105</v>
      </c>
      <c r="G811" s="47">
        <v>225.7</v>
      </c>
    </row>
    <row r="812" spans="1:7" x14ac:dyDescent="0.2">
      <c r="A812" s="44"/>
      <c r="B812" s="3"/>
      <c r="C812" s="3"/>
      <c r="D812" s="3"/>
      <c r="E812" s="3"/>
      <c r="F812" s="3"/>
      <c r="G812" s="31"/>
    </row>
    <row r="813" spans="1:7" ht="42.75" x14ac:dyDescent="0.2">
      <c r="A813" s="6" t="s">
        <v>80</v>
      </c>
      <c r="B813" s="12" t="s">
        <v>292</v>
      </c>
      <c r="C813" s="3"/>
      <c r="D813" s="3"/>
      <c r="E813" s="3"/>
      <c r="F813" s="3"/>
      <c r="G813" s="81">
        <f>G814+G832</f>
        <v>443046.19999999995</v>
      </c>
    </row>
    <row r="814" spans="1:7" x14ac:dyDescent="0.2">
      <c r="A814" s="1" t="s">
        <v>5</v>
      </c>
      <c r="B814" s="3" t="s">
        <v>292</v>
      </c>
      <c r="C814" s="3" t="s">
        <v>6</v>
      </c>
      <c r="D814" s="3"/>
      <c r="E814" s="7"/>
      <c r="F814" s="7"/>
      <c r="G814" s="15">
        <f>G815+G826</f>
        <v>12717.1</v>
      </c>
    </row>
    <row r="815" spans="1:7" ht="45" x14ac:dyDescent="0.2">
      <c r="A815" s="9" t="s">
        <v>26</v>
      </c>
      <c r="B815" s="3" t="s">
        <v>292</v>
      </c>
      <c r="C815" s="10" t="s">
        <v>6</v>
      </c>
      <c r="D815" s="10" t="s">
        <v>7</v>
      </c>
      <c r="E815" s="11"/>
      <c r="F815" s="10"/>
      <c r="G815" s="31">
        <f>G816+G819</f>
        <v>12280.1</v>
      </c>
    </row>
    <row r="816" spans="1:7" x14ac:dyDescent="0.2">
      <c r="A816" s="54" t="s">
        <v>115</v>
      </c>
      <c r="B816" s="3" t="s">
        <v>292</v>
      </c>
      <c r="C816" s="55" t="s">
        <v>6</v>
      </c>
      <c r="D816" s="55" t="s">
        <v>7</v>
      </c>
      <c r="E816" s="55" t="s">
        <v>122</v>
      </c>
      <c r="F816" s="3"/>
      <c r="G816" s="47">
        <f>G817</f>
        <v>1969</v>
      </c>
    </row>
    <row r="817" spans="1:7" ht="30" x14ac:dyDescent="0.2">
      <c r="A817" s="45" t="s">
        <v>61</v>
      </c>
      <c r="B817" s="3" t="s">
        <v>292</v>
      </c>
      <c r="C817" s="3" t="s">
        <v>6</v>
      </c>
      <c r="D817" s="3" t="s">
        <v>7</v>
      </c>
      <c r="E817" s="3" t="s">
        <v>272</v>
      </c>
      <c r="F817" s="48"/>
      <c r="G817" s="28">
        <f>G818</f>
        <v>1969</v>
      </c>
    </row>
    <row r="818" spans="1:7" ht="60" x14ac:dyDescent="0.2">
      <c r="A818" s="44" t="s">
        <v>108</v>
      </c>
      <c r="B818" s="3" t="s">
        <v>292</v>
      </c>
      <c r="C818" s="19" t="s">
        <v>6</v>
      </c>
      <c r="D818" s="19" t="s">
        <v>7</v>
      </c>
      <c r="E818" s="3" t="s">
        <v>272</v>
      </c>
      <c r="F818" s="19" t="s">
        <v>103</v>
      </c>
      <c r="G818" s="47">
        <f>1545.8+423.2</f>
        <v>1969</v>
      </c>
    </row>
    <row r="819" spans="1:7" ht="30" x14ac:dyDescent="0.2">
      <c r="A819" s="44" t="s">
        <v>553</v>
      </c>
      <c r="B819" s="3" t="s">
        <v>292</v>
      </c>
      <c r="C819" s="19" t="s">
        <v>6</v>
      </c>
      <c r="D819" s="19" t="s">
        <v>7</v>
      </c>
      <c r="E819" s="3" t="s">
        <v>377</v>
      </c>
      <c r="F819" s="19"/>
      <c r="G819" s="47">
        <f>G820</f>
        <v>10311.1</v>
      </c>
    </row>
    <row r="820" spans="1:7" x14ac:dyDescent="0.2">
      <c r="A820" s="24" t="s">
        <v>271</v>
      </c>
      <c r="B820" s="3" t="s">
        <v>292</v>
      </c>
      <c r="C820" s="19" t="s">
        <v>6</v>
      </c>
      <c r="D820" s="19" t="s">
        <v>7</v>
      </c>
      <c r="E820" s="3" t="s">
        <v>378</v>
      </c>
      <c r="F820" s="19"/>
      <c r="G820" s="47">
        <f>G821</f>
        <v>10311.1</v>
      </c>
    </row>
    <row r="821" spans="1:7" ht="30" x14ac:dyDescent="0.2">
      <c r="A821" s="44" t="s">
        <v>379</v>
      </c>
      <c r="B821" s="3" t="s">
        <v>292</v>
      </c>
      <c r="C821" s="19" t="s">
        <v>6</v>
      </c>
      <c r="D821" s="19" t="s">
        <v>7</v>
      </c>
      <c r="E821" s="3" t="s">
        <v>380</v>
      </c>
      <c r="F821" s="19"/>
      <c r="G821" s="47">
        <f>G822</f>
        <v>10311.1</v>
      </c>
    </row>
    <row r="822" spans="1:7" x14ac:dyDescent="0.2">
      <c r="A822" s="44" t="s">
        <v>8</v>
      </c>
      <c r="B822" s="3" t="s">
        <v>292</v>
      </c>
      <c r="C822" s="19" t="s">
        <v>6</v>
      </c>
      <c r="D822" s="19" t="s">
        <v>7</v>
      </c>
      <c r="E822" s="3" t="s">
        <v>381</v>
      </c>
      <c r="F822" s="19"/>
      <c r="G822" s="47">
        <f>SUM(G823:G825)</f>
        <v>10311.1</v>
      </c>
    </row>
    <row r="823" spans="1:7" ht="60" x14ac:dyDescent="0.2">
      <c r="A823" s="44" t="s">
        <v>108</v>
      </c>
      <c r="B823" s="3" t="s">
        <v>292</v>
      </c>
      <c r="C823" s="19" t="s">
        <v>6</v>
      </c>
      <c r="D823" s="19" t="s">
        <v>7</v>
      </c>
      <c r="E823" s="3" t="s">
        <v>381</v>
      </c>
      <c r="F823" s="19" t="s">
        <v>103</v>
      </c>
      <c r="G823" s="47">
        <f>5396.7+740.8+1173.8+524.1</f>
        <v>7835.4000000000005</v>
      </c>
    </row>
    <row r="824" spans="1:7" ht="30" x14ac:dyDescent="0.2">
      <c r="A824" s="44" t="s">
        <v>102</v>
      </c>
      <c r="B824" s="3" t="s">
        <v>292</v>
      </c>
      <c r="C824" s="19" t="s">
        <v>6</v>
      </c>
      <c r="D824" s="19" t="s">
        <v>7</v>
      </c>
      <c r="E824" s="3" t="s">
        <v>381</v>
      </c>
      <c r="F824" s="19" t="s">
        <v>101</v>
      </c>
      <c r="G824" s="47">
        <f>2443.4+28.3</f>
        <v>2471.7000000000003</v>
      </c>
    </row>
    <row r="825" spans="1:7" x14ac:dyDescent="0.2">
      <c r="A825" s="44" t="s">
        <v>109</v>
      </c>
      <c r="B825" s="3" t="s">
        <v>292</v>
      </c>
      <c r="C825" s="19" t="s">
        <v>6</v>
      </c>
      <c r="D825" s="19" t="s">
        <v>7</v>
      </c>
      <c r="E825" s="3" t="s">
        <v>381</v>
      </c>
      <c r="F825" s="19" t="s">
        <v>104</v>
      </c>
      <c r="G825" s="47">
        <v>4</v>
      </c>
    </row>
    <row r="826" spans="1:7" x14ac:dyDescent="0.2">
      <c r="A826" s="1" t="s">
        <v>42</v>
      </c>
      <c r="B826" s="3" t="s">
        <v>292</v>
      </c>
      <c r="C826" s="3" t="s">
        <v>6</v>
      </c>
      <c r="D826" s="3" t="s">
        <v>50</v>
      </c>
      <c r="E826" s="13"/>
      <c r="F826" s="3"/>
      <c r="G826" s="31">
        <f>G827</f>
        <v>437</v>
      </c>
    </row>
    <row r="827" spans="1:7" ht="30" x14ac:dyDescent="0.2">
      <c r="A827" s="44" t="s">
        <v>553</v>
      </c>
      <c r="B827" s="3" t="s">
        <v>292</v>
      </c>
      <c r="C827" s="3" t="s">
        <v>6</v>
      </c>
      <c r="D827" s="3" t="s">
        <v>50</v>
      </c>
      <c r="E827" s="3" t="s">
        <v>377</v>
      </c>
      <c r="F827" s="19"/>
      <c r="G827" s="47">
        <f>G828</f>
        <v>437</v>
      </c>
    </row>
    <row r="828" spans="1:7" x14ac:dyDescent="0.2">
      <c r="A828" s="24" t="s">
        <v>271</v>
      </c>
      <c r="B828" s="3" t="s">
        <v>292</v>
      </c>
      <c r="C828" s="3" t="s">
        <v>6</v>
      </c>
      <c r="D828" s="3" t="s">
        <v>50</v>
      </c>
      <c r="E828" s="3" t="s">
        <v>378</v>
      </c>
      <c r="F828" s="19"/>
      <c r="G828" s="47">
        <f>G829</f>
        <v>437</v>
      </c>
    </row>
    <row r="829" spans="1:7" ht="30" x14ac:dyDescent="0.2">
      <c r="A829" s="44" t="s">
        <v>379</v>
      </c>
      <c r="B829" s="3" t="s">
        <v>292</v>
      </c>
      <c r="C829" s="3" t="s">
        <v>6</v>
      </c>
      <c r="D829" s="3" t="s">
        <v>50</v>
      </c>
      <c r="E829" s="3" t="s">
        <v>380</v>
      </c>
      <c r="F829" s="19"/>
      <c r="G829" s="47">
        <f>G830</f>
        <v>437</v>
      </c>
    </row>
    <row r="830" spans="1:7" x14ac:dyDescent="0.2">
      <c r="A830" s="44" t="s">
        <v>94</v>
      </c>
      <c r="B830" s="3" t="s">
        <v>292</v>
      </c>
      <c r="C830" s="3" t="s">
        <v>6</v>
      </c>
      <c r="D830" s="3" t="s">
        <v>50</v>
      </c>
      <c r="E830" s="3" t="s">
        <v>418</v>
      </c>
      <c r="F830" s="19"/>
      <c r="G830" s="47">
        <f>G831</f>
        <v>437</v>
      </c>
    </row>
    <row r="831" spans="1:7" x14ac:dyDescent="0.2">
      <c r="A831" s="44" t="s">
        <v>109</v>
      </c>
      <c r="B831" s="3" t="s">
        <v>292</v>
      </c>
      <c r="C831" s="3" t="s">
        <v>6</v>
      </c>
      <c r="D831" s="3" t="s">
        <v>50</v>
      </c>
      <c r="E831" s="3" t="s">
        <v>418</v>
      </c>
      <c r="F831" s="19" t="s">
        <v>104</v>
      </c>
      <c r="G831" s="31">
        <v>437</v>
      </c>
    </row>
    <row r="832" spans="1:7" x14ac:dyDescent="0.2">
      <c r="A832" s="1" t="s">
        <v>29</v>
      </c>
      <c r="B832" s="3" t="s">
        <v>292</v>
      </c>
      <c r="C832" s="3" t="s">
        <v>30</v>
      </c>
      <c r="D832" s="19"/>
      <c r="E832" s="19"/>
      <c r="F832" s="19"/>
      <c r="G832" s="47">
        <f>G833</f>
        <v>430329.1</v>
      </c>
    </row>
    <row r="833" spans="1:7" x14ac:dyDescent="0.2">
      <c r="A833" s="1" t="s">
        <v>273</v>
      </c>
      <c r="B833" s="3" t="s">
        <v>292</v>
      </c>
      <c r="C833" s="3" t="s">
        <v>30</v>
      </c>
      <c r="D833" s="3" t="s">
        <v>30</v>
      </c>
      <c r="E833" s="3"/>
      <c r="F833" s="3"/>
      <c r="G833" s="32">
        <f>G843+G839+G834</f>
        <v>430329.1</v>
      </c>
    </row>
    <row r="834" spans="1:7" s="24" customFormat="1" ht="45" x14ac:dyDescent="0.2">
      <c r="A834" s="1" t="s">
        <v>733</v>
      </c>
      <c r="B834" s="3" t="s">
        <v>292</v>
      </c>
      <c r="C834" s="3" t="s">
        <v>30</v>
      </c>
      <c r="D834" s="3" t="s">
        <v>30</v>
      </c>
      <c r="E834" s="3" t="s">
        <v>739</v>
      </c>
      <c r="F834" s="3"/>
      <c r="G834" s="32">
        <f>G835</f>
        <v>156035.4</v>
      </c>
    </row>
    <row r="835" spans="1:7" s="24" customFormat="1" ht="30" x14ac:dyDescent="0.2">
      <c r="A835" s="1" t="s">
        <v>753</v>
      </c>
      <c r="B835" s="3" t="s">
        <v>292</v>
      </c>
      <c r="C835" s="3" t="s">
        <v>30</v>
      </c>
      <c r="D835" s="3" t="s">
        <v>30</v>
      </c>
      <c r="E835" s="3" t="s">
        <v>756</v>
      </c>
      <c r="F835" s="3"/>
      <c r="G835" s="32">
        <f>G836</f>
        <v>156035.4</v>
      </c>
    </row>
    <row r="836" spans="1:7" ht="45" x14ac:dyDescent="0.2">
      <c r="A836" s="1" t="s">
        <v>754</v>
      </c>
      <c r="B836" s="3" t="s">
        <v>292</v>
      </c>
      <c r="C836" s="3" t="s">
        <v>30</v>
      </c>
      <c r="D836" s="3" t="s">
        <v>30</v>
      </c>
      <c r="E836" s="3" t="s">
        <v>757</v>
      </c>
      <c r="F836" s="3"/>
      <c r="G836" s="32">
        <f>G837</f>
        <v>156035.4</v>
      </c>
    </row>
    <row r="837" spans="1:7" ht="45" x14ac:dyDescent="0.2">
      <c r="A837" s="1" t="s">
        <v>755</v>
      </c>
      <c r="B837" s="3" t="s">
        <v>292</v>
      </c>
      <c r="C837" s="3" t="s">
        <v>30</v>
      </c>
      <c r="D837" s="3" t="s">
        <v>30</v>
      </c>
      <c r="E837" s="3" t="s">
        <v>758</v>
      </c>
      <c r="F837" s="3"/>
      <c r="G837" s="32">
        <f>G838</f>
        <v>156035.4</v>
      </c>
    </row>
    <row r="838" spans="1:7" ht="30" x14ac:dyDescent="0.2">
      <c r="A838" s="20" t="s">
        <v>112</v>
      </c>
      <c r="B838" s="3" t="s">
        <v>292</v>
      </c>
      <c r="C838" s="3" t="s">
        <v>30</v>
      </c>
      <c r="D838" s="3" t="s">
        <v>30</v>
      </c>
      <c r="E838" s="3" t="s">
        <v>759</v>
      </c>
      <c r="F838" s="3" t="s">
        <v>107</v>
      </c>
      <c r="G838" s="32">
        <f>154000+2035.4</f>
        <v>156035.4</v>
      </c>
    </row>
    <row r="839" spans="1:7" ht="30" x14ac:dyDescent="0.2">
      <c r="A839" s="20" t="s">
        <v>262</v>
      </c>
      <c r="B839" s="3" t="s">
        <v>292</v>
      </c>
      <c r="C839" s="3" t="s">
        <v>30</v>
      </c>
      <c r="D839" s="3" t="s">
        <v>30</v>
      </c>
      <c r="E839" s="3" t="s">
        <v>263</v>
      </c>
      <c r="F839" s="3"/>
      <c r="G839" s="32">
        <f>G840</f>
        <v>50</v>
      </c>
    </row>
    <row r="840" spans="1:7" ht="45" x14ac:dyDescent="0.2">
      <c r="A840" s="44" t="s">
        <v>494</v>
      </c>
      <c r="B840" s="3" t="s">
        <v>292</v>
      </c>
      <c r="C840" s="3" t="s">
        <v>30</v>
      </c>
      <c r="D840" s="3" t="s">
        <v>30</v>
      </c>
      <c r="E840" s="3" t="s">
        <v>499</v>
      </c>
      <c r="F840" s="3"/>
      <c r="G840" s="32">
        <f>G841</f>
        <v>50</v>
      </c>
    </row>
    <row r="841" spans="1:7" x14ac:dyDescent="0.2">
      <c r="A841" s="1" t="s">
        <v>492</v>
      </c>
      <c r="B841" s="3" t="s">
        <v>292</v>
      </c>
      <c r="C841" s="3" t="s">
        <v>30</v>
      </c>
      <c r="D841" s="3" t="s">
        <v>30</v>
      </c>
      <c r="E841" s="3" t="s">
        <v>500</v>
      </c>
      <c r="F841" s="3"/>
      <c r="G841" s="32">
        <f>G842</f>
        <v>50</v>
      </c>
    </row>
    <row r="842" spans="1:7" ht="30" x14ac:dyDescent="0.2">
      <c r="A842" s="44" t="s">
        <v>102</v>
      </c>
      <c r="B842" s="3" t="s">
        <v>292</v>
      </c>
      <c r="C842" s="3" t="s">
        <v>30</v>
      </c>
      <c r="D842" s="3" t="s">
        <v>30</v>
      </c>
      <c r="E842" s="3" t="s">
        <v>500</v>
      </c>
      <c r="F842" s="3" t="s">
        <v>101</v>
      </c>
      <c r="G842" s="32">
        <v>50</v>
      </c>
    </row>
    <row r="843" spans="1:7" ht="30" x14ac:dyDescent="0.2">
      <c r="A843" s="44" t="s">
        <v>553</v>
      </c>
      <c r="B843" s="3" t="s">
        <v>292</v>
      </c>
      <c r="C843" s="19" t="s">
        <v>30</v>
      </c>
      <c r="D843" s="19" t="s">
        <v>30</v>
      </c>
      <c r="E843" s="3" t="s">
        <v>377</v>
      </c>
      <c r="F843" s="19"/>
      <c r="G843" s="28">
        <f>G844+G857+G865</f>
        <v>274243.7</v>
      </c>
    </row>
    <row r="844" spans="1:7" ht="30" x14ac:dyDescent="0.2">
      <c r="A844" s="20" t="s">
        <v>274</v>
      </c>
      <c r="B844" s="3" t="s">
        <v>292</v>
      </c>
      <c r="C844" s="19" t="s">
        <v>30</v>
      </c>
      <c r="D844" s="19" t="s">
        <v>30</v>
      </c>
      <c r="E844" s="3" t="s">
        <v>382</v>
      </c>
      <c r="F844" s="19"/>
      <c r="G844" s="28">
        <f>G845+G848+G851+G854</f>
        <v>263777.7</v>
      </c>
    </row>
    <row r="845" spans="1:7" ht="30" x14ac:dyDescent="0.2">
      <c r="A845" s="20" t="s">
        <v>275</v>
      </c>
      <c r="B845" s="3" t="s">
        <v>292</v>
      </c>
      <c r="C845" s="19" t="s">
        <v>30</v>
      </c>
      <c r="D845" s="19" t="s">
        <v>30</v>
      </c>
      <c r="E845" s="3" t="s">
        <v>383</v>
      </c>
      <c r="F845" s="19"/>
      <c r="G845" s="28">
        <f>G846</f>
        <v>248215.2</v>
      </c>
    </row>
    <row r="846" spans="1:7" ht="30" x14ac:dyDescent="0.2">
      <c r="A846" s="20" t="s">
        <v>276</v>
      </c>
      <c r="B846" s="3" t="s">
        <v>292</v>
      </c>
      <c r="C846" s="19" t="s">
        <v>30</v>
      </c>
      <c r="D846" s="19" t="s">
        <v>30</v>
      </c>
      <c r="E846" s="3" t="s">
        <v>384</v>
      </c>
      <c r="F846" s="19"/>
      <c r="G846" s="28">
        <f>G847</f>
        <v>248215.2</v>
      </c>
    </row>
    <row r="847" spans="1:7" ht="30" x14ac:dyDescent="0.2">
      <c r="A847" s="20" t="s">
        <v>112</v>
      </c>
      <c r="B847" s="3" t="s">
        <v>292</v>
      </c>
      <c r="C847" s="19" t="s">
        <v>30</v>
      </c>
      <c r="D847" s="19" t="s">
        <v>30</v>
      </c>
      <c r="E847" s="3" t="s">
        <v>384</v>
      </c>
      <c r="F847" s="19" t="s">
        <v>107</v>
      </c>
      <c r="G847" s="28">
        <f>247123.2+1092</f>
        <v>248215.2</v>
      </c>
    </row>
    <row r="848" spans="1:7" ht="30" x14ac:dyDescent="0.2">
      <c r="A848" s="1" t="s">
        <v>175</v>
      </c>
      <c r="B848" s="3" t="s">
        <v>292</v>
      </c>
      <c r="C848" s="3" t="s">
        <v>30</v>
      </c>
      <c r="D848" s="3" t="s">
        <v>30</v>
      </c>
      <c r="E848" s="3" t="s">
        <v>385</v>
      </c>
      <c r="F848" s="3"/>
      <c r="G848" s="32">
        <f>G849</f>
        <v>15084.5</v>
      </c>
    </row>
    <row r="849" spans="1:7" ht="45" x14ac:dyDescent="0.2">
      <c r="A849" s="20" t="s">
        <v>346</v>
      </c>
      <c r="B849" s="3" t="s">
        <v>292</v>
      </c>
      <c r="C849" s="19" t="s">
        <v>30</v>
      </c>
      <c r="D849" s="19" t="s">
        <v>30</v>
      </c>
      <c r="E849" s="3" t="s">
        <v>386</v>
      </c>
      <c r="F849" s="19"/>
      <c r="G849" s="28">
        <f>G850</f>
        <v>15084.5</v>
      </c>
    </row>
    <row r="850" spans="1:7" ht="30" x14ac:dyDescent="0.2">
      <c r="A850" s="20" t="s">
        <v>112</v>
      </c>
      <c r="B850" s="3" t="s">
        <v>292</v>
      </c>
      <c r="C850" s="19" t="s">
        <v>30</v>
      </c>
      <c r="D850" s="19" t="s">
        <v>30</v>
      </c>
      <c r="E850" s="3" t="s">
        <v>386</v>
      </c>
      <c r="F850" s="19" t="s">
        <v>107</v>
      </c>
      <c r="G850" s="28">
        <f>3100+2026.1+9958.4</f>
        <v>15084.5</v>
      </c>
    </row>
    <row r="851" spans="1:7" ht="45" x14ac:dyDescent="0.2">
      <c r="A851" s="20" t="s">
        <v>604</v>
      </c>
      <c r="B851" s="3" t="s">
        <v>292</v>
      </c>
      <c r="C851" s="19" t="s">
        <v>30</v>
      </c>
      <c r="D851" s="19" t="s">
        <v>30</v>
      </c>
      <c r="E851" s="3" t="s">
        <v>600</v>
      </c>
      <c r="F851" s="19"/>
      <c r="G851" s="28">
        <f>G852</f>
        <v>350</v>
      </c>
    </row>
    <row r="852" spans="1:7" ht="45" x14ac:dyDescent="0.2">
      <c r="A852" s="20" t="s">
        <v>605</v>
      </c>
      <c r="B852" s="3" t="s">
        <v>292</v>
      </c>
      <c r="C852" s="19" t="s">
        <v>30</v>
      </c>
      <c r="D852" s="19" t="s">
        <v>30</v>
      </c>
      <c r="E852" s="3" t="s">
        <v>601</v>
      </c>
      <c r="F852" s="19"/>
      <c r="G852" s="28">
        <f>G853</f>
        <v>350</v>
      </c>
    </row>
    <row r="853" spans="1:7" ht="30" x14ac:dyDescent="0.2">
      <c r="A853" s="20" t="s">
        <v>112</v>
      </c>
      <c r="B853" s="3" t="s">
        <v>292</v>
      </c>
      <c r="C853" s="19" t="s">
        <v>30</v>
      </c>
      <c r="D853" s="19" t="s">
        <v>30</v>
      </c>
      <c r="E853" s="3" t="s">
        <v>601</v>
      </c>
      <c r="F853" s="19" t="s">
        <v>107</v>
      </c>
      <c r="G853" s="28">
        <v>350</v>
      </c>
    </row>
    <row r="854" spans="1:7" ht="45" x14ac:dyDescent="0.2">
      <c r="A854" s="20" t="s">
        <v>606</v>
      </c>
      <c r="B854" s="3" t="s">
        <v>292</v>
      </c>
      <c r="C854" s="19" t="s">
        <v>30</v>
      </c>
      <c r="D854" s="19" t="s">
        <v>30</v>
      </c>
      <c r="E854" s="3" t="s">
        <v>602</v>
      </c>
      <c r="F854" s="19"/>
      <c r="G854" s="28">
        <f>G855</f>
        <v>128</v>
      </c>
    </row>
    <row r="855" spans="1:7" ht="45" x14ac:dyDescent="0.2">
      <c r="A855" s="20" t="s">
        <v>607</v>
      </c>
      <c r="B855" s="3" t="s">
        <v>292</v>
      </c>
      <c r="C855" s="19" t="s">
        <v>30</v>
      </c>
      <c r="D855" s="19" t="s">
        <v>30</v>
      </c>
      <c r="E855" s="3" t="s">
        <v>603</v>
      </c>
      <c r="F855" s="19"/>
      <c r="G855" s="28">
        <f>G856</f>
        <v>128</v>
      </c>
    </row>
    <row r="856" spans="1:7" ht="30" x14ac:dyDescent="0.2">
      <c r="A856" s="20" t="s">
        <v>112</v>
      </c>
      <c r="B856" s="3" t="s">
        <v>292</v>
      </c>
      <c r="C856" s="19" t="s">
        <v>30</v>
      </c>
      <c r="D856" s="19" t="s">
        <v>30</v>
      </c>
      <c r="E856" s="3" t="s">
        <v>603</v>
      </c>
      <c r="F856" s="19" t="s">
        <v>107</v>
      </c>
      <c r="G856" s="28">
        <v>128</v>
      </c>
    </row>
    <row r="857" spans="1:7" ht="30" x14ac:dyDescent="0.2">
      <c r="A857" s="44" t="s">
        <v>130</v>
      </c>
      <c r="B857" s="3" t="s">
        <v>292</v>
      </c>
      <c r="C857" s="19" t="s">
        <v>30</v>
      </c>
      <c r="D857" s="19" t="s">
        <v>30</v>
      </c>
      <c r="E857" s="3" t="s">
        <v>333</v>
      </c>
      <c r="F857" s="19"/>
      <c r="G857" s="28">
        <f>G858+G862</f>
        <v>9606</v>
      </c>
    </row>
    <row r="858" spans="1:7" ht="30" x14ac:dyDescent="0.2">
      <c r="A858" s="45" t="s">
        <v>131</v>
      </c>
      <c r="B858" s="3" t="s">
        <v>292</v>
      </c>
      <c r="C858" s="19" t="s">
        <v>30</v>
      </c>
      <c r="D858" s="19" t="s">
        <v>30</v>
      </c>
      <c r="E858" s="3" t="s">
        <v>387</v>
      </c>
      <c r="F858" s="19"/>
      <c r="G858" s="28">
        <f>G859</f>
        <v>8546</v>
      </c>
    </row>
    <row r="859" spans="1:7" x14ac:dyDescent="0.2">
      <c r="A859" s="45" t="s">
        <v>132</v>
      </c>
      <c r="B859" s="3" t="s">
        <v>292</v>
      </c>
      <c r="C859" s="19" t="s">
        <v>30</v>
      </c>
      <c r="D859" s="19" t="s">
        <v>30</v>
      </c>
      <c r="E859" s="3" t="s">
        <v>388</v>
      </c>
      <c r="F859" s="19"/>
      <c r="G859" s="28">
        <f>G860+G861</f>
        <v>8546</v>
      </c>
    </row>
    <row r="860" spans="1:7" ht="30" x14ac:dyDescent="0.2">
      <c r="A860" s="44" t="s">
        <v>102</v>
      </c>
      <c r="B860" s="3" t="s">
        <v>292</v>
      </c>
      <c r="C860" s="19" t="s">
        <v>30</v>
      </c>
      <c r="D860" s="19" t="s">
        <v>30</v>
      </c>
      <c r="E860" s="3" t="s">
        <v>388</v>
      </c>
      <c r="F860" s="19" t="s">
        <v>101</v>
      </c>
      <c r="G860" s="28">
        <f>4765+100</f>
        <v>4865</v>
      </c>
    </row>
    <row r="861" spans="1:7" x14ac:dyDescent="0.2">
      <c r="A861" s="9" t="s">
        <v>111</v>
      </c>
      <c r="B861" s="3" t="s">
        <v>292</v>
      </c>
      <c r="C861" s="19" t="s">
        <v>30</v>
      </c>
      <c r="D861" s="19" t="s">
        <v>30</v>
      </c>
      <c r="E861" s="3" t="s">
        <v>388</v>
      </c>
      <c r="F861" s="19" t="s">
        <v>105</v>
      </c>
      <c r="G861" s="28">
        <v>3681</v>
      </c>
    </row>
    <row r="862" spans="1:7" ht="30" x14ac:dyDescent="0.2">
      <c r="A862" s="9" t="s">
        <v>389</v>
      </c>
      <c r="B862" s="3" t="s">
        <v>292</v>
      </c>
      <c r="C862" s="19" t="s">
        <v>30</v>
      </c>
      <c r="D862" s="19" t="s">
        <v>30</v>
      </c>
      <c r="E862" s="3" t="s">
        <v>390</v>
      </c>
      <c r="F862" s="19"/>
      <c r="G862" s="28">
        <f>G863</f>
        <v>1060</v>
      </c>
    </row>
    <row r="863" spans="1:7" ht="30" x14ac:dyDescent="0.2">
      <c r="A863" s="9" t="s">
        <v>391</v>
      </c>
      <c r="B863" s="3" t="s">
        <v>292</v>
      </c>
      <c r="C863" s="19" t="s">
        <v>30</v>
      </c>
      <c r="D863" s="19" t="s">
        <v>30</v>
      </c>
      <c r="E863" s="3" t="s">
        <v>392</v>
      </c>
      <c r="F863" s="19"/>
      <c r="G863" s="28">
        <f>G864</f>
        <v>1060</v>
      </c>
    </row>
    <row r="864" spans="1:7" x14ac:dyDescent="0.2">
      <c r="A864" s="9" t="s">
        <v>111</v>
      </c>
      <c r="B864" s="3" t="s">
        <v>292</v>
      </c>
      <c r="C864" s="19" t="s">
        <v>30</v>
      </c>
      <c r="D864" s="19" t="s">
        <v>30</v>
      </c>
      <c r="E864" s="3" t="s">
        <v>392</v>
      </c>
      <c r="F864" s="19" t="s">
        <v>105</v>
      </c>
      <c r="G864" s="28">
        <f>1160-100</f>
        <v>1060</v>
      </c>
    </row>
    <row r="865" spans="1:7" ht="30" x14ac:dyDescent="0.2">
      <c r="A865" s="44" t="s">
        <v>568</v>
      </c>
      <c r="B865" s="3" t="s">
        <v>292</v>
      </c>
      <c r="C865" s="19" t="s">
        <v>30</v>
      </c>
      <c r="D865" s="19" t="s">
        <v>30</v>
      </c>
      <c r="E865" s="3" t="s">
        <v>571</v>
      </c>
      <c r="F865" s="19"/>
      <c r="G865" s="28">
        <f>G866</f>
        <v>860</v>
      </c>
    </row>
    <row r="866" spans="1:7" ht="30" x14ac:dyDescent="0.2">
      <c r="A866" s="44" t="s">
        <v>569</v>
      </c>
      <c r="B866" s="3" t="s">
        <v>292</v>
      </c>
      <c r="C866" s="19" t="s">
        <v>30</v>
      </c>
      <c r="D866" s="19" t="s">
        <v>30</v>
      </c>
      <c r="E866" s="3" t="s">
        <v>572</v>
      </c>
      <c r="F866" s="19"/>
      <c r="G866" s="28">
        <f>G867</f>
        <v>860</v>
      </c>
    </row>
    <row r="867" spans="1:7" ht="30" x14ac:dyDescent="0.2">
      <c r="A867" s="44" t="s">
        <v>570</v>
      </c>
      <c r="B867" s="3" t="s">
        <v>292</v>
      </c>
      <c r="C867" s="19" t="s">
        <v>30</v>
      </c>
      <c r="D867" s="19" t="s">
        <v>30</v>
      </c>
      <c r="E867" s="3" t="s">
        <v>573</v>
      </c>
      <c r="F867" s="19"/>
      <c r="G867" s="28">
        <f>G868+G869</f>
        <v>860</v>
      </c>
    </row>
    <row r="868" spans="1:7" ht="30" x14ac:dyDescent="0.2">
      <c r="A868" s="44" t="s">
        <v>102</v>
      </c>
      <c r="B868" s="3" t="s">
        <v>292</v>
      </c>
      <c r="C868" s="19" t="s">
        <v>30</v>
      </c>
      <c r="D868" s="19" t="s">
        <v>30</v>
      </c>
      <c r="E868" s="3" t="s">
        <v>573</v>
      </c>
      <c r="F868" s="19" t="s">
        <v>101</v>
      </c>
      <c r="G868" s="28">
        <v>620</v>
      </c>
    </row>
    <row r="869" spans="1:7" x14ac:dyDescent="0.2">
      <c r="A869" s="9" t="s">
        <v>111</v>
      </c>
      <c r="B869" s="3" t="s">
        <v>292</v>
      </c>
      <c r="C869" s="19" t="s">
        <v>30</v>
      </c>
      <c r="D869" s="19" t="s">
        <v>30</v>
      </c>
      <c r="E869" s="3" t="s">
        <v>573</v>
      </c>
      <c r="F869" s="19" t="s">
        <v>105</v>
      </c>
      <c r="G869" s="28">
        <v>240</v>
      </c>
    </row>
    <row r="870" spans="1:7" x14ac:dyDescent="0.2">
      <c r="B870" s="3"/>
      <c r="C870" s="19"/>
      <c r="D870" s="19"/>
      <c r="E870" s="3"/>
      <c r="F870" s="19"/>
      <c r="G870" s="28"/>
    </row>
    <row r="871" spans="1:7" ht="42.75" x14ac:dyDescent="0.2">
      <c r="A871" s="25" t="s">
        <v>81</v>
      </c>
      <c r="B871" s="26" t="s">
        <v>293</v>
      </c>
      <c r="C871" s="26"/>
      <c r="D871" s="26"/>
      <c r="E871" s="26"/>
      <c r="F871" s="26"/>
      <c r="G871" s="80">
        <f>G872+G883+G896+G902</f>
        <v>55913.199999999983</v>
      </c>
    </row>
    <row r="872" spans="1:7" x14ac:dyDescent="0.2">
      <c r="A872" s="1" t="s">
        <v>5</v>
      </c>
      <c r="B872" s="3" t="s">
        <v>293</v>
      </c>
      <c r="C872" s="3" t="s">
        <v>6</v>
      </c>
      <c r="D872" s="3"/>
      <c r="E872" s="3"/>
      <c r="F872" s="3"/>
      <c r="G872" s="8">
        <f>G873+G879</f>
        <v>6501.2999999999993</v>
      </c>
    </row>
    <row r="873" spans="1:7" ht="45" x14ac:dyDescent="0.2">
      <c r="A873" s="9" t="s">
        <v>26</v>
      </c>
      <c r="B873" s="3" t="s">
        <v>293</v>
      </c>
      <c r="C873" s="10" t="s">
        <v>6</v>
      </c>
      <c r="D873" s="10" t="s">
        <v>7</v>
      </c>
      <c r="E873" s="11"/>
      <c r="F873" s="10"/>
      <c r="G873" s="31">
        <f>G874</f>
        <v>6474.5999999999995</v>
      </c>
    </row>
    <row r="874" spans="1:7" x14ac:dyDescent="0.2">
      <c r="A874" s="54" t="s">
        <v>115</v>
      </c>
      <c r="B874" s="3" t="s">
        <v>293</v>
      </c>
      <c r="C874" s="55" t="s">
        <v>6</v>
      </c>
      <c r="D874" s="55" t="s">
        <v>7</v>
      </c>
      <c r="E874" s="55" t="s">
        <v>122</v>
      </c>
      <c r="F874" s="3"/>
      <c r="G874" s="47">
        <f>G875</f>
        <v>6474.5999999999995</v>
      </c>
    </row>
    <row r="875" spans="1:7" x14ac:dyDescent="0.2">
      <c r="A875" s="20" t="s">
        <v>8</v>
      </c>
      <c r="B875" s="3" t="s">
        <v>293</v>
      </c>
      <c r="C875" s="19" t="s">
        <v>6</v>
      </c>
      <c r="D875" s="55" t="s">
        <v>7</v>
      </c>
      <c r="E875" s="55" t="s">
        <v>123</v>
      </c>
      <c r="F875" s="19"/>
      <c r="G875" s="47">
        <f>SUM(G876:G878)</f>
        <v>6474.5999999999995</v>
      </c>
    </row>
    <row r="876" spans="1:7" ht="60" x14ac:dyDescent="0.2">
      <c r="A876" s="44" t="s">
        <v>108</v>
      </c>
      <c r="B876" s="3" t="s">
        <v>293</v>
      </c>
      <c r="C876" s="19" t="s">
        <v>6</v>
      </c>
      <c r="D876" s="55" t="s">
        <v>7</v>
      </c>
      <c r="E876" s="55" t="s">
        <v>123</v>
      </c>
      <c r="F876" s="19" t="s">
        <v>103</v>
      </c>
      <c r="G876" s="47">
        <f>4198.4+425+652+418.5</f>
        <v>5693.9</v>
      </c>
    </row>
    <row r="877" spans="1:7" ht="30" x14ac:dyDescent="0.2">
      <c r="A877" s="44" t="s">
        <v>102</v>
      </c>
      <c r="B877" s="3" t="s">
        <v>293</v>
      </c>
      <c r="C877" s="19" t="s">
        <v>6</v>
      </c>
      <c r="D877" s="55" t="s">
        <v>7</v>
      </c>
      <c r="E877" s="55" t="s">
        <v>123</v>
      </c>
      <c r="F877" s="19" t="s">
        <v>101</v>
      </c>
      <c r="G877" s="47">
        <f>772.7+5.6</f>
        <v>778.30000000000007</v>
      </c>
    </row>
    <row r="878" spans="1:7" x14ac:dyDescent="0.2">
      <c r="A878" s="44" t="s">
        <v>109</v>
      </c>
      <c r="B878" s="3" t="s">
        <v>293</v>
      </c>
      <c r="C878" s="19" t="s">
        <v>6</v>
      </c>
      <c r="D878" s="55" t="s">
        <v>7</v>
      </c>
      <c r="E878" s="55" t="s">
        <v>123</v>
      </c>
      <c r="F878" s="19" t="s">
        <v>104</v>
      </c>
      <c r="G878" s="47">
        <v>2.4</v>
      </c>
    </row>
    <row r="879" spans="1:7" x14ac:dyDescent="0.2">
      <c r="A879" s="1" t="s">
        <v>42</v>
      </c>
      <c r="B879" s="3" t="s">
        <v>293</v>
      </c>
      <c r="C879" s="3" t="s">
        <v>6</v>
      </c>
      <c r="D879" s="3" t="s">
        <v>50</v>
      </c>
      <c r="E879" s="3"/>
      <c r="F879" s="3"/>
      <c r="G879" s="8">
        <f>G880</f>
        <v>26.7</v>
      </c>
    </row>
    <row r="880" spans="1:7" x14ac:dyDescent="0.2">
      <c r="A880" s="20" t="s">
        <v>115</v>
      </c>
      <c r="B880" s="3" t="s">
        <v>293</v>
      </c>
      <c r="C880" s="3" t="s">
        <v>6</v>
      </c>
      <c r="D880" s="3" t="s">
        <v>50</v>
      </c>
      <c r="E880" s="55" t="s">
        <v>122</v>
      </c>
      <c r="F880" s="19"/>
      <c r="G880" s="47">
        <f>G881</f>
        <v>26.7</v>
      </c>
    </row>
    <row r="881" spans="1:7" x14ac:dyDescent="0.2">
      <c r="A881" s="44" t="s">
        <v>94</v>
      </c>
      <c r="B881" s="3" t="s">
        <v>293</v>
      </c>
      <c r="C881" s="3" t="s">
        <v>6</v>
      </c>
      <c r="D881" s="3" t="s">
        <v>50</v>
      </c>
      <c r="E881" s="55" t="s">
        <v>146</v>
      </c>
      <c r="F881" s="19"/>
      <c r="G881" s="47">
        <f>G882</f>
        <v>26.7</v>
      </c>
    </row>
    <row r="882" spans="1:7" x14ac:dyDescent="0.2">
      <c r="A882" s="44" t="s">
        <v>109</v>
      </c>
      <c r="B882" s="3" t="s">
        <v>293</v>
      </c>
      <c r="C882" s="3" t="s">
        <v>6</v>
      </c>
      <c r="D882" s="3" t="s">
        <v>50</v>
      </c>
      <c r="E882" s="55" t="s">
        <v>146</v>
      </c>
      <c r="F882" s="19" t="s">
        <v>104</v>
      </c>
      <c r="G882" s="47">
        <v>26.7</v>
      </c>
    </row>
    <row r="883" spans="1:7" x14ac:dyDescent="0.2">
      <c r="A883" s="9" t="s">
        <v>14</v>
      </c>
      <c r="B883" s="3" t="s">
        <v>293</v>
      </c>
      <c r="C883" s="3" t="s">
        <v>15</v>
      </c>
      <c r="D883" s="3"/>
      <c r="E883" s="3"/>
      <c r="F883" s="3"/>
      <c r="G883" s="31">
        <f>G884</f>
        <v>48530.499999999993</v>
      </c>
    </row>
    <row r="884" spans="1:7" ht="30" x14ac:dyDescent="0.2">
      <c r="A884" s="9" t="s">
        <v>49</v>
      </c>
      <c r="B884" s="3" t="s">
        <v>293</v>
      </c>
      <c r="C884" s="3" t="s">
        <v>15</v>
      </c>
      <c r="D884" s="3" t="s">
        <v>17</v>
      </c>
      <c r="E884" s="3"/>
      <c r="F884" s="3"/>
      <c r="G884" s="31">
        <f>G885</f>
        <v>48530.499999999993</v>
      </c>
    </row>
    <row r="885" spans="1:7" x14ac:dyDescent="0.2">
      <c r="A885" s="9" t="s">
        <v>115</v>
      </c>
      <c r="B885" s="3" t="s">
        <v>293</v>
      </c>
      <c r="C885" s="3" t="s">
        <v>15</v>
      </c>
      <c r="D885" s="3" t="s">
        <v>17</v>
      </c>
      <c r="E885" s="3" t="s">
        <v>122</v>
      </c>
      <c r="F885" s="3"/>
      <c r="G885" s="32">
        <f>G886+G891</f>
        <v>48530.499999999993</v>
      </c>
    </row>
    <row r="886" spans="1:7" x14ac:dyDescent="0.2">
      <c r="A886" s="18" t="s">
        <v>41</v>
      </c>
      <c r="B886" s="3" t="s">
        <v>293</v>
      </c>
      <c r="C886" s="19" t="s">
        <v>15</v>
      </c>
      <c r="D886" s="19" t="s">
        <v>17</v>
      </c>
      <c r="E886" s="19" t="s">
        <v>393</v>
      </c>
      <c r="F886" s="19"/>
      <c r="G886" s="28">
        <f>G887</f>
        <v>47682.299999999996</v>
      </c>
    </row>
    <row r="887" spans="1:7" x14ac:dyDescent="0.2">
      <c r="A887" s="20" t="s">
        <v>18</v>
      </c>
      <c r="B887" s="3" t="s">
        <v>293</v>
      </c>
      <c r="C887" s="19" t="s">
        <v>15</v>
      </c>
      <c r="D887" s="19" t="s">
        <v>17</v>
      </c>
      <c r="E887" s="19" t="s">
        <v>394</v>
      </c>
      <c r="F887" s="19"/>
      <c r="G887" s="28">
        <f>SUM(G888:G890)</f>
        <v>47682.299999999996</v>
      </c>
    </row>
    <row r="888" spans="1:7" ht="60" x14ac:dyDescent="0.2">
      <c r="A888" s="44" t="s">
        <v>108</v>
      </c>
      <c r="B888" s="3" t="s">
        <v>293</v>
      </c>
      <c r="C888" s="19" t="s">
        <v>15</v>
      </c>
      <c r="D888" s="19" t="s">
        <v>17</v>
      </c>
      <c r="E888" s="19" t="s">
        <v>394</v>
      </c>
      <c r="F888" s="19" t="s">
        <v>103</v>
      </c>
      <c r="G888" s="28">
        <f>31671.2+4240</f>
        <v>35911.199999999997</v>
      </c>
    </row>
    <row r="889" spans="1:7" ht="30" x14ac:dyDescent="0.2">
      <c r="A889" s="44" t="s">
        <v>102</v>
      </c>
      <c r="B889" s="3" t="s">
        <v>293</v>
      </c>
      <c r="C889" s="19" t="s">
        <v>15</v>
      </c>
      <c r="D889" s="19" t="s">
        <v>17</v>
      </c>
      <c r="E889" s="19" t="s">
        <v>394</v>
      </c>
      <c r="F889" s="19" t="s">
        <v>101</v>
      </c>
      <c r="G889" s="28">
        <f>3775.4+5325.3+2588.7</f>
        <v>11689.400000000001</v>
      </c>
    </row>
    <row r="890" spans="1:7" x14ac:dyDescent="0.2">
      <c r="A890" s="44" t="s">
        <v>109</v>
      </c>
      <c r="B890" s="3" t="s">
        <v>293</v>
      </c>
      <c r="C890" s="19" t="s">
        <v>15</v>
      </c>
      <c r="D890" s="19" t="s">
        <v>17</v>
      </c>
      <c r="E890" s="19" t="s">
        <v>394</v>
      </c>
      <c r="F890" s="19" t="s">
        <v>104</v>
      </c>
      <c r="G890" s="28">
        <v>81.7</v>
      </c>
    </row>
    <row r="891" spans="1:7" ht="30" x14ac:dyDescent="0.2">
      <c r="A891" s="45" t="s">
        <v>100</v>
      </c>
      <c r="B891" s="3" t="s">
        <v>293</v>
      </c>
      <c r="C891" s="3" t="s">
        <v>15</v>
      </c>
      <c r="D891" s="3" t="s">
        <v>17</v>
      </c>
      <c r="E891" s="19" t="s">
        <v>126</v>
      </c>
      <c r="F891" s="19"/>
      <c r="G891" s="28">
        <f>G892+G894</f>
        <v>848.2</v>
      </c>
    </row>
    <row r="892" spans="1:7" ht="45" x14ac:dyDescent="0.2">
      <c r="A892" s="44" t="s">
        <v>704</v>
      </c>
      <c r="B892" s="3" t="s">
        <v>293</v>
      </c>
      <c r="C892" s="19" t="s">
        <v>15</v>
      </c>
      <c r="D892" s="19" t="s">
        <v>17</v>
      </c>
      <c r="E892" s="19" t="s">
        <v>705</v>
      </c>
      <c r="F892" s="19"/>
      <c r="G892" s="28">
        <f>G893</f>
        <v>676.2</v>
      </c>
    </row>
    <row r="893" spans="1:7" ht="30" x14ac:dyDescent="0.2">
      <c r="A893" s="44" t="s">
        <v>102</v>
      </c>
      <c r="B893" s="3" t="s">
        <v>293</v>
      </c>
      <c r="C893" s="19" t="s">
        <v>15</v>
      </c>
      <c r="D893" s="19" t="s">
        <v>17</v>
      </c>
      <c r="E893" s="19" t="s">
        <v>705</v>
      </c>
      <c r="F893" s="19" t="s">
        <v>101</v>
      </c>
      <c r="G893" s="28">
        <v>676.2</v>
      </c>
    </row>
    <row r="894" spans="1:7" ht="45" x14ac:dyDescent="0.2">
      <c r="A894" s="44" t="s">
        <v>679</v>
      </c>
      <c r="B894" s="3" t="s">
        <v>293</v>
      </c>
      <c r="C894" s="19" t="s">
        <v>15</v>
      </c>
      <c r="D894" s="19" t="s">
        <v>17</v>
      </c>
      <c r="E894" s="19" t="s">
        <v>775</v>
      </c>
      <c r="F894" s="19"/>
      <c r="G894" s="28">
        <f>G895</f>
        <v>172</v>
      </c>
    </row>
    <row r="895" spans="1:7" x14ac:dyDescent="0.2">
      <c r="A895" s="44" t="s">
        <v>109</v>
      </c>
      <c r="B895" s="3" t="s">
        <v>293</v>
      </c>
      <c r="C895" s="19" t="s">
        <v>15</v>
      </c>
      <c r="D895" s="19" t="s">
        <v>17</v>
      </c>
      <c r="E895" s="19" t="s">
        <v>775</v>
      </c>
      <c r="F895" s="19" t="s">
        <v>104</v>
      </c>
      <c r="G895" s="28">
        <v>172</v>
      </c>
    </row>
    <row r="896" spans="1:7" x14ac:dyDescent="0.2">
      <c r="A896" s="1" t="s">
        <v>22</v>
      </c>
      <c r="B896" s="3" t="s">
        <v>293</v>
      </c>
      <c r="C896" s="19" t="s">
        <v>9</v>
      </c>
      <c r="D896" s="19"/>
      <c r="E896" s="19"/>
      <c r="F896" s="19"/>
      <c r="G896" s="28">
        <f>G897</f>
        <v>769.7</v>
      </c>
    </row>
    <row r="897" spans="1:7" x14ac:dyDescent="0.2">
      <c r="A897" s="9" t="s">
        <v>43</v>
      </c>
      <c r="B897" s="3" t="s">
        <v>293</v>
      </c>
      <c r="C897" s="19" t="s">
        <v>9</v>
      </c>
      <c r="D897" s="19" t="s">
        <v>15</v>
      </c>
      <c r="E897" s="19"/>
      <c r="F897" s="19"/>
      <c r="G897" s="28">
        <f>G898</f>
        <v>769.7</v>
      </c>
    </row>
    <row r="898" spans="1:7" ht="30" x14ac:dyDescent="0.2">
      <c r="A898" s="1" t="s">
        <v>127</v>
      </c>
      <c r="B898" s="3" t="s">
        <v>293</v>
      </c>
      <c r="C898" s="10" t="s">
        <v>9</v>
      </c>
      <c r="D898" s="10" t="s">
        <v>15</v>
      </c>
      <c r="E898" s="3" t="s">
        <v>128</v>
      </c>
      <c r="F898" s="7"/>
      <c r="G898" s="28">
        <f>G899</f>
        <v>769.7</v>
      </c>
    </row>
    <row r="899" spans="1:7" ht="30" x14ac:dyDescent="0.2">
      <c r="A899" s="1" t="s">
        <v>331</v>
      </c>
      <c r="B899" s="3" t="s">
        <v>293</v>
      </c>
      <c r="C899" s="10" t="s">
        <v>9</v>
      </c>
      <c r="D899" s="10" t="s">
        <v>15</v>
      </c>
      <c r="E899" s="3" t="s">
        <v>129</v>
      </c>
      <c r="F899" s="7"/>
      <c r="G899" s="28">
        <f>G900</f>
        <v>769.7</v>
      </c>
    </row>
    <row r="900" spans="1:7" ht="30" x14ac:dyDescent="0.2">
      <c r="A900" s="9" t="s">
        <v>329</v>
      </c>
      <c r="B900" s="3" t="s">
        <v>293</v>
      </c>
      <c r="C900" s="23" t="s">
        <v>9</v>
      </c>
      <c r="D900" s="23" t="s">
        <v>15</v>
      </c>
      <c r="E900" s="3" t="s">
        <v>330</v>
      </c>
      <c r="F900" s="10"/>
      <c r="G900" s="28">
        <f>G901</f>
        <v>769.7</v>
      </c>
    </row>
    <row r="901" spans="1:7" ht="30" x14ac:dyDescent="0.2">
      <c r="A901" s="44" t="s">
        <v>102</v>
      </c>
      <c r="B901" s="3" t="s">
        <v>293</v>
      </c>
      <c r="C901" s="23" t="s">
        <v>9</v>
      </c>
      <c r="D901" s="23" t="s">
        <v>15</v>
      </c>
      <c r="E901" s="3" t="s">
        <v>330</v>
      </c>
      <c r="F901" s="10" t="s">
        <v>101</v>
      </c>
      <c r="G901" s="28">
        <v>769.7</v>
      </c>
    </row>
    <row r="902" spans="1:7" x14ac:dyDescent="0.2">
      <c r="A902" s="1" t="s">
        <v>29</v>
      </c>
      <c r="B902" s="3" t="s">
        <v>293</v>
      </c>
      <c r="C902" s="23" t="s">
        <v>30</v>
      </c>
      <c r="D902" s="23"/>
      <c r="E902" s="3"/>
      <c r="F902" s="10"/>
      <c r="G902" s="28">
        <f t="shared" ref="G902:G907" si="5">G903</f>
        <v>111.7</v>
      </c>
    </row>
    <row r="903" spans="1:7" x14ac:dyDescent="0.2">
      <c r="A903" s="1" t="s">
        <v>34</v>
      </c>
      <c r="B903" s="3" t="s">
        <v>293</v>
      </c>
      <c r="C903" s="23" t="s">
        <v>30</v>
      </c>
      <c r="D903" s="23" t="s">
        <v>17</v>
      </c>
      <c r="E903" s="3"/>
      <c r="F903" s="10"/>
      <c r="G903" s="28">
        <f t="shared" si="5"/>
        <v>111.7</v>
      </c>
    </row>
    <row r="904" spans="1:7" ht="30" x14ac:dyDescent="0.2">
      <c r="A904" s="56" t="s">
        <v>550</v>
      </c>
      <c r="B904" s="3" t="s">
        <v>293</v>
      </c>
      <c r="C904" s="19" t="s">
        <v>30</v>
      </c>
      <c r="D904" s="19" t="s">
        <v>17</v>
      </c>
      <c r="E904" s="57" t="s">
        <v>221</v>
      </c>
      <c r="F904" s="3"/>
      <c r="G904" s="28">
        <f t="shared" si="5"/>
        <v>111.7</v>
      </c>
    </row>
    <row r="905" spans="1:7" x14ac:dyDescent="0.2">
      <c r="A905" s="44" t="s">
        <v>226</v>
      </c>
      <c r="B905" s="3" t="s">
        <v>293</v>
      </c>
      <c r="C905" s="19" t="s">
        <v>30</v>
      </c>
      <c r="D905" s="19" t="s">
        <v>17</v>
      </c>
      <c r="E905" s="19" t="s">
        <v>227</v>
      </c>
      <c r="F905" s="19"/>
      <c r="G905" s="28">
        <f t="shared" si="5"/>
        <v>111.7</v>
      </c>
    </row>
    <row r="906" spans="1:7" ht="30" x14ac:dyDescent="0.2">
      <c r="A906" s="44" t="s">
        <v>357</v>
      </c>
      <c r="B906" s="3" t="s">
        <v>293</v>
      </c>
      <c r="C906" s="19" t="s">
        <v>30</v>
      </c>
      <c r="D906" s="19" t="s">
        <v>17</v>
      </c>
      <c r="E906" s="19" t="s">
        <v>256</v>
      </c>
      <c r="F906" s="19"/>
      <c r="G906" s="28">
        <f t="shared" si="5"/>
        <v>111.7</v>
      </c>
    </row>
    <row r="907" spans="1:7" ht="30" x14ac:dyDescent="0.2">
      <c r="A907" s="20" t="s">
        <v>257</v>
      </c>
      <c r="B907" s="3" t="s">
        <v>293</v>
      </c>
      <c r="C907" s="19" t="s">
        <v>30</v>
      </c>
      <c r="D907" s="19" t="s">
        <v>17</v>
      </c>
      <c r="E907" s="19" t="s">
        <v>258</v>
      </c>
      <c r="F907" s="19"/>
      <c r="G907" s="28">
        <f t="shared" si="5"/>
        <v>111.7</v>
      </c>
    </row>
    <row r="908" spans="1:7" ht="30" x14ac:dyDescent="0.2">
      <c r="A908" s="44" t="s">
        <v>102</v>
      </c>
      <c r="B908" s="3" t="s">
        <v>293</v>
      </c>
      <c r="C908" s="19" t="s">
        <v>30</v>
      </c>
      <c r="D908" s="19" t="s">
        <v>17</v>
      </c>
      <c r="E908" s="19" t="s">
        <v>258</v>
      </c>
      <c r="F908" s="19" t="s">
        <v>101</v>
      </c>
      <c r="G908" s="28">
        <v>111.7</v>
      </c>
    </row>
    <row r="909" spans="1:7" x14ac:dyDescent="0.2">
      <c r="A909" s="44"/>
      <c r="B909" s="3"/>
      <c r="C909" s="3"/>
      <c r="D909" s="3"/>
      <c r="E909" s="3"/>
      <c r="F909" s="3"/>
      <c r="G909" s="8"/>
    </row>
    <row r="910" spans="1:7" ht="42.75" x14ac:dyDescent="0.2">
      <c r="A910" s="6" t="s">
        <v>84</v>
      </c>
      <c r="B910" s="7" t="s">
        <v>294</v>
      </c>
      <c r="C910" s="7"/>
      <c r="D910" s="7"/>
      <c r="E910" s="7"/>
      <c r="F910" s="7"/>
      <c r="G910" s="79">
        <f>G911+G928+G943+G981</f>
        <v>794236.81</v>
      </c>
    </row>
    <row r="911" spans="1:7" x14ac:dyDescent="0.2">
      <c r="A911" s="1" t="s">
        <v>5</v>
      </c>
      <c r="B911" s="3" t="s">
        <v>294</v>
      </c>
      <c r="C911" s="3" t="s">
        <v>6</v>
      </c>
      <c r="D911" s="3"/>
      <c r="E911" s="3"/>
      <c r="F911" s="3"/>
      <c r="G911" s="8">
        <f>G912+G919</f>
        <v>35328</v>
      </c>
    </row>
    <row r="912" spans="1:7" ht="45" x14ac:dyDescent="0.2">
      <c r="A912" s="9" t="s">
        <v>26</v>
      </c>
      <c r="B912" s="3" t="s">
        <v>294</v>
      </c>
      <c r="C912" s="10" t="s">
        <v>6</v>
      </c>
      <c r="D912" s="10" t="s">
        <v>7</v>
      </c>
      <c r="E912" s="11"/>
      <c r="F912" s="10"/>
      <c r="G912" s="31">
        <f>G913</f>
        <v>34178.5</v>
      </c>
    </row>
    <row r="913" spans="1:7" ht="30" x14ac:dyDescent="0.2">
      <c r="A913" s="59" t="s">
        <v>395</v>
      </c>
      <c r="B913" s="3" t="s">
        <v>294</v>
      </c>
      <c r="C913" s="19" t="s">
        <v>6</v>
      </c>
      <c r="D913" s="19" t="s">
        <v>7</v>
      </c>
      <c r="E913" s="3" t="s">
        <v>396</v>
      </c>
      <c r="F913" s="19"/>
      <c r="G913" s="47">
        <f>G914</f>
        <v>34178.5</v>
      </c>
    </row>
    <row r="914" spans="1:7" ht="30" x14ac:dyDescent="0.2">
      <c r="A914" s="44" t="s">
        <v>406</v>
      </c>
      <c r="B914" s="3" t="s">
        <v>294</v>
      </c>
      <c r="C914" s="19" t="s">
        <v>6</v>
      </c>
      <c r="D914" s="19" t="s">
        <v>7</v>
      </c>
      <c r="E914" s="3" t="s">
        <v>407</v>
      </c>
      <c r="F914" s="19"/>
      <c r="G914" s="47">
        <f>G915</f>
        <v>34178.5</v>
      </c>
    </row>
    <row r="915" spans="1:7" x14ac:dyDescent="0.2">
      <c r="A915" s="44" t="s">
        <v>8</v>
      </c>
      <c r="B915" s="3" t="s">
        <v>294</v>
      </c>
      <c r="C915" s="19" t="s">
        <v>6</v>
      </c>
      <c r="D915" s="19" t="s">
        <v>7</v>
      </c>
      <c r="E915" s="3" t="s">
        <v>408</v>
      </c>
      <c r="F915" s="19"/>
      <c r="G915" s="47">
        <f>SUM(G916:G918)</f>
        <v>34178.5</v>
      </c>
    </row>
    <row r="916" spans="1:7" ht="60" x14ac:dyDescent="0.2">
      <c r="A916" s="44" t="s">
        <v>108</v>
      </c>
      <c r="B916" s="3" t="s">
        <v>294</v>
      </c>
      <c r="C916" s="19" t="s">
        <v>6</v>
      </c>
      <c r="D916" s="19" t="s">
        <v>7</v>
      </c>
      <c r="E916" s="3" t="s">
        <v>408</v>
      </c>
      <c r="F916" s="19" t="s">
        <v>103</v>
      </c>
      <c r="G916" s="47">
        <f>21682+2195.6+3452.2+2033.1</f>
        <v>29362.899999999998</v>
      </c>
    </row>
    <row r="917" spans="1:7" ht="30" x14ac:dyDescent="0.2">
      <c r="A917" s="44" t="s">
        <v>102</v>
      </c>
      <c r="B917" s="3" t="s">
        <v>294</v>
      </c>
      <c r="C917" s="19" t="s">
        <v>6</v>
      </c>
      <c r="D917" s="19" t="s">
        <v>7</v>
      </c>
      <c r="E917" s="3" t="s">
        <v>408</v>
      </c>
      <c r="F917" s="19" t="s">
        <v>101</v>
      </c>
      <c r="G917" s="47">
        <f>2567+26.2+1257.7+952.9</f>
        <v>4803.7999999999993</v>
      </c>
    </row>
    <row r="918" spans="1:7" x14ac:dyDescent="0.2">
      <c r="A918" s="44" t="s">
        <v>109</v>
      </c>
      <c r="B918" s="3" t="s">
        <v>294</v>
      </c>
      <c r="C918" s="19" t="s">
        <v>6</v>
      </c>
      <c r="D918" s="19" t="s">
        <v>7</v>
      </c>
      <c r="E918" s="3" t="s">
        <v>408</v>
      </c>
      <c r="F918" s="19" t="s">
        <v>104</v>
      </c>
      <c r="G918" s="47">
        <v>11.8</v>
      </c>
    </row>
    <row r="919" spans="1:7" x14ac:dyDescent="0.2">
      <c r="A919" s="1" t="s">
        <v>42</v>
      </c>
      <c r="B919" s="3" t="s">
        <v>294</v>
      </c>
      <c r="C919" s="3" t="s">
        <v>6</v>
      </c>
      <c r="D919" s="3" t="s">
        <v>50</v>
      </c>
      <c r="E919" s="55"/>
      <c r="F919" s="19"/>
      <c r="G919" s="47">
        <f>G920+G924</f>
        <v>1149.5</v>
      </c>
    </row>
    <row r="920" spans="1:7" x14ac:dyDescent="0.2">
      <c r="A920" s="20" t="s">
        <v>115</v>
      </c>
      <c r="B920" s="3" t="s">
        <v>294</v>
      </c>
      <c r="C920" s="3" t="s">
        <v>6</v>
      </c>
      <c r="D920" s="3" t="s">
        <v>50</v>
      </c>
      <c r="E920" s="55" t="s">
        <v>122</v>
      </c>
      <c r="F920" s="55"/>
      <c r="G920" s="47">
        <f>G921</f>
        <v>542.5</v>
      </c>
    </row>
    <row r="921" spans="1:7" ht="30" x14ac:dyDescent="0.2">
      <c r="A921" s="45" t="s">
        <v>100</v>
      </c>
      <c r="B921" s="3" t="s">
        <v>294</v>
      </c>
      <c r="C921" s="3" t="s">
        <v>6</v>
      </c>
      <c r="D921" s="3" t="s">
        <v>50</v>
      </c>
      <c r="E921" s="19" t="s">
        <v>126</v>
      </c>
      <c r="F921" s="55"/>
      <c r="G921" s="47">
        <f>G922</f>
        <v>542.5</v>
      </c>
    </row>
    <row r="922" spans="1:7" x14ac:dyDescent="0.2">
      <c r="A922" s="44" t="s">
        <v>442</v>
      </c>
      <c r="B922" s="3" t="s">
        <v>294</v>
      </c>
      <c r="C922" s="3" t="s">
        <v>6</v>
      </c>
      <c r="D922" s="3" t="s">
        <v>50</v>
      </c>
      <c r="E922" s="19" t="s">
        <v>125</v>
      </c>
      <c r="F922" s="19"/>
      <c r="G922" s="47">
        <f>G923</f>
        <v>542.5</v>
      </c>
    </row>
    <row r="923" spans="1:7" x14ac:dyDescent="0.2">
      <c r="A923" s="44" t="s">
        <v>109</v>
      </c>
      <c r="B923" s="3" t="s">
        <v>294</v>
      </c>
      <c r="C923" s="3" t="s">
        <v>6</v>
      </c>
      <c r="D923" s="3" t="s">
        <v>50</v>
      </c>
      <c r="E923" s="19" t="s">
        <v>125</v>
      </c>
      <c r="F923" s="19" t="s">
        <v>104</v>
      </c>
      <c r="G923" s="47">
        <v>542.5</v>
      </c>
    </row>
    <row r="924" spans="1:7" ht="30" x14ac:dyDescent="0.2">
      <c r="A924" s="59" t="s">
        <v>395</v>
      </c>
      <c r="B924" s="3" t="s">
        <v>294</v>
      </c>
      <c r="C924" s="3" t="s">
        <v>6</v>
      </c>
      <c r="D924" s="3" t="s">
        <v>50</v>
      </c>
      <c r="E924" s="3" t="s">
        <v>396</v>
      </c>
      <c r="F924" s="19"/>
      <c r="G924" s="47">
        <f>G925</f>
        <v>607</v>
      </c>
    </row>
    <row r="925" spans="1:7" ht="30" x14ac:dyDescent="0.2">
      <c r="A925" s="44" t="s">
        <v>406</v>
      </c>
      <c r="B925" s="3" t="s">
        <v>294</v>
      </c>
      <c r="C925" s="3" t="s">
        <v>6</v>
      </c>
      <c r="D925" s="3" t="s">
        <v>50</v>
      </c>
      <c r="E925" s="3" t="s">
        <v>407</v>
      </c>
      <c r="F925" s="19"/>
      <c r="G925" s="47">
        <f>G926</f>
        <v>607</v>
      </c>
    </row>
    <row r="926" spans="1:7" x14ac:dyDescent="0.2">
      <c r="A926" s="44" t="s">
        <v>94</v>
      </c>
      <c r="B926" s="3" t="s">
        <v>294</v>
      </c>
      <c r="C926" s="3" t="s">
        <v>6</v>
      </c>
      <c r="D926" s="3" t="s">
        <v>50</v>
      </c>
      <c r="E926" s="3" t="s">
        <v>421</v>
      </c>
      <c r="F926" s="19"/>
      <c r="G926" s="47">
        <f>G927</f>
        <v>607</v>
      </c>
    </row>
    <row r="927" spans="1:7" x14ac:dyDescent="0.2">
      <c r="A927" s="44" t="s">
        <v>109</v>
      </c>
      <c r="B927" s="3" t="s">
        <v>294</v>
      </c>
      <c r="C927" s="3" t="s">
        <v>6</v>
      </c>
      <c r="D927" s="3" t="s">
        <v>50</v>
      </c>
      <c r="E927" s="3" t="s">
        <v>421</v>
      </c>
      <c r="F927" s="19" t="s">
        <v>104</v>
      </c>
      <c r="G927" s="47">
        <v>607</v>
      </c>
    </row>
    <row r="928" spans="1:7" x14ac:dyDescent="0.2">
      <c r="A928" s="1" t="s">
        <v>19</v>
      </c>
      <c r="B928" s="3" t="s">
        <v>294</v>
      </c>
      <c r="C928" s="3" t="s">
        <v>7</v>
      </c>
      <c r="D928" s="3"/>
      <c r="E928" s="3"/>
      <c r="F928" s="3"/>
      <c r="G928" s="32">
        <f>G929+G938</f>
        <v>24931.9</v>
      </c>
    </row>
    <row r="929" spans="1:7" x14ac:dyDescent="0.2">
      <c r="A929" s="44" t="s">
        <v>295</v>
      </c>
      <c r="B929" s="3" t="s">
        <v>294</v>
      </c>
      <c r="C929" s="3" t="s">
        <v>7</v>
      </c>
      <c r="D929" s="3" t="s">
        <v>9</v>
      </c>
      <c r="E929" s="3"/>
      <c r="F929" s="3"/>
      <c r="G929" s="31">
        <f>G930+G934</f>
        <v>18999.2</v>
      </c>
    </row>
    <row r="930" spans="1:7" ht="31.5" customHeight="1" x14ac:dyDescent="0.2">
      <c r="A930" s="44" t="s">
        <v>296</v>
      </c>
      <c r="B930" s="3" t="s">
        <v>294</v>
      </c>
      <c r="C930" s="19" t="s">
        <v>7</v>
      </c>
      <c r="D930" s="19" t="s">
        <v>9</v>
      </c>
      <c r="E930" s="19" t="s">
        <v>297</v>
      </c>
      <c r="F930" s="19"/>
      <c r="G930" s="47">
        <f>G931</f>
        <v>16175</v>
      </c>
    </row>
    <row r="931" spans="1:7" ht="30" x14ac:dyDescent="0.2">
      <c r="A931" s="44" t="s">
        <v>298</v>
      </c>
      <c r="B931" s="3" t="s">
        <v>294</v>
      </c>
      <c r="C931" s="19" t="s">
        <v>7</v>
      </c>
      <c r="D931" s="19" t="s">
        <v>9</v>
      </c>
      <c r="E931" s="19" t="s">
        <v>299</v>
      </c>
      <c r="F931" s="19"/>
      <c r="G931" s="47">
        <f>G932</f>
        <v>16175</v>
      </c>
    </row>
    <row r="932" spans="1:7" ht="75" x14ac:dyDescent="0.2">
      <c r="A932" s="9" t="s">
        <v>816</v>
      </c>
      <c r="B932" s="3" t="s">
        <v>294</v>
      </c>
      <c r="C932" s="19" t="s">
        <v>7</v>
      </c>
      <c r="D932" s="19" t="s">
        <v>9</v>
      </c>
      <c r="E932" s="19" t="s">
        <v>300</v>
      </c>
      <c r="F932" s="19"/>
      <c r="G932" s="47">
        <f>G933</f>
        <v>16175</v>
      </c>
    </row>
    <row r="933" spans="1:7" x14ac:dyDescent="0.2">
      <c r="A933" s="44" t="s">
        <v>109</v>
      </c>
      <c r="B933" s="3" t="s">
        <v>294</v>
      </c>
      <c r="C933" s="19" t="s">
        <v>7</v>
      </c>
      <c r="D933" s="19" t="s">
        <v>9</v>
      </c>
      <c r="E933" s="19" t="s">
        <v>300</v>
      </c>
      <c r="F933" s="19" t="s">
        <v>104</v>
      </c>
      <c r="G933" s="47">
        <v>16175</v>
      </c>
    </row>
    <row r="934" spans="1:7" x14ac:dyDescent="0.2">
      <c r="A934" s="9" t="s">
        <v>115</v>
      </c>
      <c r="B934" s="3" t="s">
        <v>294</v>
      </c>
      <c r="C934" s="19" t="s">
        <v>7</v>
      </c>
      <c r="D934" s="19" t="s">
        <v>9</v>
      </c>
      <c r="E934" s="19" t="s">
        <v>122</v>
      </c>
      <c r="F934" s="19"/>
      <c r="G934" s="47">
        <f>G935</f>
        <v>2824.2</v>
      </c>
    </row>
    <row r="935" spans="1:7" ht="30" x14ac:dyDescent="0.2">
      <c r="A935" s="45" t="s">
        <v>100</v>
      </c>
      <c r="B935" s="3" t="s">
        <v>294</v>
      </c>
      <c r="C935" s="19" t="s">
        <v>7</v>
      </c>
      <c r="D935" s="19" t="s">
        <v>9</v>
      </c>
      <c r="E935" s="19" t="s">
        <v>126</v>
      </c>
      <c r="F935" s="19"/>
      <c r="G935" s="47">
        <f>G936</f>
        <v>2824.2</v>
      </c>
    </row>
    <row r="936" spans="1:7" ht="45" x14ac:dyDescent="0.2">
      <c r="A936" s="44" t="s">
        <v>751</v>
      </c>
      <c r="B936" s="3" t="s">
        <v>294</v>
      </c>
      <c r="C936" s="19" t="s">
        <v>7</v>
      </c>
      <c r="D936" s="19" t="s">
        <v>9</v>
      </c>
      <c r="E936" s="19" t="s">
        <v>752</v>
      </c>
      <c r="F936" s="19"/>
      <c r="G936" s="47">
        <f>G937</f>
        <v>2824.2</v>
      </c>
    </row>
    <row r="937" spans="1:7" x14ac:dyDescent="0.2">
      <c r="A937" s="44" t="s">
        <v>109</v>
      </c>
      <c r="B937" s="3" t="s">
        <v>294</v>
      </c>
      <c r="C937" s="19" t="s">
        <v>7</v>
      </c>
      <c r="D937" s="19" t="s">
        <v>9</v>
      </c>
      <c r="E937" s="19" t="s">
        <v>752</v>
      </c>
      <c r="F937" s="19" t="s">
        <v>104</v>
      </c>
      <c r="G937" s="47">
        <v>2824.2</v>
      </c>
    </row>
    <row r="938" spans="1:7" x14ac:dyDescent="0.2">
      <c r="A938" s="44" t="s">
        <v>443</v>
      </c>
      <c r="B938" s="3" t="s">
        <v>294</v>
      </c>
      <c r="C938" s="3" t="s">
        <v>7</v>
      </c>
      <c r="D938" s="3" t="s">
        <v>10</v>
      </c>
      <c r="E938" s="3"/>
      <c r="F938" s="3"/>
      <c r="G938" s="31">
        <f>G939</f>
        <v>5932.7</v>
      </c>
    </row>
    <row r="939" spans="1:7" x14ac:dyDescent="0.2">
      <c r="A939" s="9" t="s">
        <v>115</v>
      </c>
      <c r="B939" s="3" t="s">
        <v>294</v>
      </c>
      <c r="C939" s="19" t="s">
        <v>7</v>
      </c>
      <c r="D939" s="19" t="s">
        <v>10</v>
      </c>
      <c r="E939" s="19" t="s">
        <v>122</v>
      </c>
      <c r="F939" s="19"/>
      <c r="G939" s="47">
        <f>G940</f>
        <v>5932.7</v>
      </c>
    </row>
    <row r="940" spans="1:7" x14ac:dyDescent="0.2">
      <c r="A940" s="44" t="s">
        <v>444</v>
      </c>
      <c r="B940" s="3" t="s">
        <v>294</v>
      </c>
      <c r="C940" s="19" t="s">
        <v>7</v>
      </c>
      <c r="D940" s="19" t="s">
        <v>10</v>
      </c>
      <c r="E940" s="19" t="s">
        <v>445</v>
      </c>
      <c r="F940" s="19"/>
      <c r="G940" s="47">
        <f>SUM(G941:G942)</f>
        <v>5932.7</v>
      </c>
    </row>
    <row r="941" spans="1:7" ht="30" x14ac:dyDescent="0.2">
      <c r="A941" s="44" t="s">
        <v>102</v>
      </c>
      <c r="B941" s="3" t="s">
        <v>294</v>
      </c>
      <c r="C941" s="19" t="s">
        <v>7</v>
      </c>
      <c r="D941" s="19" t="s">
        <v>10</v>
      </c>
      <c r="E941" s="19" t="s">
        <v>445</v>
      </c>
      <c r="F941" s="19" t="s">
        <v>101</v>
      </c>
      <c r="G941" s="47">
        <v>1922</v>
      </c>
    </row>
    <row r="942" spans="1:7" x14ac:dyDescent="0.2">
      <c r="A942" s="44" t="s">
        <v>109</v>
      </c>
      <c r="B942" s="3" t="s">
        <v>294</v>
      </c>
      <c r="C942" s="19" t="s">
        <v>7</v>
      </c>
      <c r="D942" s="19" t="s">
        <v>10</v>
      </c>
      <c r="E942" s="19" t="s">
        <v>445</v>
      </c>
      <c r="F942" s="19" t="s">
        <v>104</v>
      </c>
      <c r="G942" s="47">
        <v>4010.7</v>
      </c>
    </row>
    <row r="943" spans="1:7" x14ac:dyDescent="0.2">
      <c r="A943" s="1" t="s">
        <v>22</v>
      </c>
      <c r="B943" s="3" t="s">
        <v>294</v>
      </c>
      <c r="C943" s="3" t="s">
        <v>9</v>
      </c>
      <c r="D943" s="3"/>
      <c r="E943" s="3"/>
      <c r="F943" s="3"/>
      <c r="G943" s="32">
        <f>G944+G964+G973</f>
        <v>709754.31</v>
      </c>
    </row>
    <row r="944" spans="1:7" x14ac:dyDescent="0.2">
      <c r="A944" s="1" t="s">
        <v>23</v>
      </c>
      <c r="B944" s="3" t="s">
        <v>294</v>
      </c>
      <c r="C944" s="3" t="s">
        <v>9</v>
      </c>
      <c r="D944" s="3" t="s">
        <v>6</v>
      </c>
      <c r="E944" s="3"/>
      <c r="F944" s="3"/>
      <c r="G944" s="32">
        <f>G945+G955+G950</f>
        <v>680095.31</v>
      </c>
    </row>
    <row r="945" spans="1:7" ht="45" x14ac:dyDescent="0.2">
      <c r="A945" s="1" t="s">
        <v>301</v>
      </c>
      <c r="B945" s="3" t="s">
        <v>294</v>
      </c>
      <c r="C945" s="3" t="s">
        <v>9</v>
      </c>
      <c r="D945" s="3" t="s">
        <v>6</v>
      </c>
      <c r="E945" s="3" t="s">
        <v>302</v>
      </c>
      <c r="F945" s="3"/>
      <c r="G945" s="32">
        <f>G946</f>
        <v>581136.9</v>
      </c>
    </row>
    <row r="946" spans="1:7" ht="60" x14ac:dyDescent="0.2">
      <c r="A946" s="1" t="s">
        <v>303</v>
      </c>
      <c r="B946" s="3" t="s">
        <v>294</v>
      </c>
      <c r="C946" s="3" t="s">
        <v>9</v>
      </c>
      <c r="D946" s="3" t="s">
        <v>6</v>
      </c>
      <c r="E946" s="3" t="s">
        <v>304</v>
      </c>
      <c r="F946" s="3"/>
      <c r="G946" s="32">
        <f>G947</f>
        <v>581136.9</v>
      </c>
    </row>
    <row r="947" spans="1:7" ht="45" x14ac:dyDescent="0.2">
      <c r="A947" s="1" t="s">
        <v>457</v>
      </c>
      <c r="B947" s="3" t="s">
        <v>294</v>
      </c>
      <c r="C947" s="3" t="s">
        <v>9</v>
      </c>
      <c r="D947" s="3" t="s">
        <v>6</v>
      </c>
      <c r="E947" s="3" t="s">
        <v>458</v>
      </c>
      <c r="F947" s="3"/>
      <c r="G947" s="32">
        <f>G948</f>
        <v>581136.9</v>
      </c>
    </row>
    <row r="948" spans="1:7" ht="60" x14ac:dyDescent="0.2">
      <c r="A948" s="1" t="s">
        <v>416</v>
      </c>
      <c r="B948" s="3" t="s">
        <v>294</v>
      </c>
      <c r="C948" s="3" t="s">
        <v>9</v>
      </c>
      <c r="D948" s="3" t="s">
        <v>6</v>
      </c>
      <c r="E948" s="3" t="s">
        <v>305</v>
      </c>
      <c r="F948" s="3"/>
      <c r="G948" s="32">
        <f>G949</f>
        <v>581136.9</v>
      </c>
    </row>
    <row r="949" spans="1:7" ht="30" x14ac:dyDescent="0.2">
      <c r="A949" s="20" t="s">
        <v>112</v>
      </c>
      <c r="B949" s="3" t="s">
        <v>294</v>
      </c>
      <c r="C949" s="3" t="s">
        <v>9</v>
      </c>
      <c r="D949" s="3" t="s">
        <v>6</v>
      </c>
      <c r="E949" s="3" t="s">
        <v>305</v>
      </c>
      <c r="F949" s="3" t="s">
        <v>107</v>
      </c>
      <c r="G949" s="32">
        <f>290887+290249.9</f>
        <v>581136.9</v>
      </c>
    </row>
    <row r="950" spans="1:7" x14ac:dyDescent="0.2">
      <c r="A950" s="9" t="s">
        <v>115</v>
      </c>
      <c r="B950" s="3" t="s">
        <v>294</v>
      </c>
      <c r="C950" s="3" t="s">
        <v>9</v>
      </c>
      <c r="D950" s="3" t="s">
        <v>6</v>
      </c>
      <c r="E950" s="3" t="s">
        <v>122</v>
      </c>
      <c r="F950" s="3"/>
      <c r="G950" s="32">
        <f>G951</f>
        <v>18396.41</v>
      </c>
    </row>
    <row r="951" spans="1:7" x14ac:dyDescent="0.2">
      <c r="A951" s="44" t="s">
        <v>823</v>
      </c>
      <c r="B951" s="3" t="s">
        <v>294</v>
      </c>
      <c r="C951" s="3" t="s">
        <v>9</v>
      </c>
      <c r="D951" s="3" t="s">
        <v>6</v>
      </c>
      <c r="E951" s="3" t="s">
        <v>824</v>
      </c>
      <c r="F951" s="3"/>
      <c r="G951" s="32">
        <f>G952</f>
        <v>18396.41</v>
      </c>
    </row>
    <row r="952" spans="1:7" x14ac:dyDescent="0.2">
      <c r="A952" s="44" t="s">
        <v>825</v>
      </c>
      <c r="B952" s="3" t="s">
        <v>294</v>
      </c>
      <c r="C952" s="3" t="s">
        <v>9</v>
      </c>
      <c r="D952" s="3" t="s">
        <v>6</v>
      </c>
      <c r="E952" s="3" t="s">
        <v>826</v>
      </c>
      <c r="F952" s="3"/>
      <c r="G952" s="32">
        <f>G953</f>
        <v>18396.41</v>
      </c>
    </row>
    <row r="953" spans="1:7" ht="45" x14ac:dyDescent="0.2">
      <c r="A953" s="44" t="s">
        <v>827</v>
      </c>
      <c r="B953" s="3" t="s">
        <v>294</v>
      </c>
      <c r="C953" s="3" t="s">
        <v>9</v>
      </c>
      <c r="D953" s="3" t="s">
        <v>6</v>
      </c>
      <c r="E953" s="3" t="s">
        <v>828</v>
      </c>
      <c r="F953" s="3"/>
      <c r="G953" s="32">
        <f>G954</f>
        <v>18396.41</v>
      </c>
    </row>
    <row r="954" spans="1:7" x14ac:dyDescent="0.2">
      <c r="A954" s="44" t="s">
        <v>109</v>
      </c>
      <c r="B954" s="3" t="s">
        <v>294</v>
      </c>
      <c r="C954" s="3" t="s">
        <v>9</v>
      </c>
      <c r="D954" s="3" t="s">
        <v>6</v>
      </c>
      <c r="E954" s="3" t="s">
        <v>828</v>
      </c>
      <c r="F954" s="3" t="s">
        <v>104</v>
      </c>
      <c r="G954" s="94">
        <v>18396.41</v>
      </c>
    </row>
    <row r="955" spans="1:7" ht="30" x14ac:dyDescent="0.2">
      <c r="A955" s="59" t="s">
        <v>395</v>
      </c>
      <c r="B955" s="3" t="s">
        <v>294</v>
      </c>
      <c r="C955" s="3" t="s">
        <v>9</v>
      </c>
      <c r="D955" s="3" t="s">
        <v>6</v>
      </c>
      <c r="E955" s="3" t="s">
        <v>396</v>
      </c>
      <c r="F955" s="3"/>
      <c r="G955" s="32">
        <f>G956+G959</f>
        <v>80562</v>
      </c>
    </row>
    <row r="956" spans="1:7" ht="30" x14ac:dyDescent="0.2">
      <c r="A956" s="59" t="s">
        <v>398</v>
      </c>
      <c r="B956" s="3" t="s">
        <v>294</v>
      </c>
      <c r="C956" s="3" t="s">
        <v>9</v>
      </c>
      <c r="D956" s="3" t="s">
        <v>6</v>
      </c>
      <c r="E956" s="3" t="s">
        <v>399</v>
      </c>
      <c r="F956" s="3"/>
      <c r="G956" s="32">
        <f>G957</f>
        <v>78562</v>
      </c>
    </row>
    <row r="957" spans="1:7" ht="45" x14ac:dyDescent="0.2">
      <c r="A957" s="18" t="s">
        <v>422</v>
      </c>
      <c r="B957" s="3" t="s">
        <v>294</v>
      </c>
      <c r="C957" s="19" t="s">
        <v>9</v>
      </c>
      <c r="D957" s="19" t="s">
        <v>6</v>
      </c>
      <c r="E957" s="3" t="s">
        <v>400</v>
      </c>
      <c r="F957" s="19"/>
      <c r="G957" s="28">
        <f>G958</f>
        <v>78562</v>
      </c>
    </row>
    <row r="958" spans="1:7" ht="30" x14ac:dyDescent="0.2">
      <c r="A958" s="44" t="s">
        <v>102</v>
      </c>
      <c r="B958" s="3" t="s">
        <v>294</v>
      </c>
      <c r="C958" s="19" t="s">
        <v>9</v>
      </c>
      <c r="D958" s="19" t="s">
        <v>6</v>
      </c>
      <c r="E958" s="3" t="s">
        <v>400</v>
      </c>
      <c r="F958" s="19" t="s">
        <v>101</v>
      </c>
      <c r="G958" s="28">
        <f>75000+1572+1990</f>
        <v>78562</v>
      </c>
    </row>
    <row r="959" spans="1:7" ht="30" x14ac:dyDescent="0.2">
      <c r="A959" s="18" t="s">
        <v>401</v>
      </c>
      <c r="B959" s="3" t="s">
        <v>294</v>
      </c>
      <c r="C959" s="19" t="s">
        <v>9</v>
      </c>
      <c r="D959" s="19" t="s">
        <v>6</v>
      </c>
      <c r="E959" s="3" t="s">
        <v>397</v>
      </c>
      <c r="F959" s="19"/>
      <c r="G959" s="28">
        <f>G962+G960</f>
        <v>2000</v>
      </c>
    </row>
    <row r="960" spans="1:7" x14ac:dyDescent="0.2">
      <c r="A960" s="44" t="s">
        <v>777</v>
      </c>
      <c r="B960" s="3" t="s">
        <v>294</v>
      </c>
      <c r="C960" s="19" t="s">
        <v>9</v>
      </c>
      <c r="D960" s="19" t="s">
        <v>6</v>
      </c>
      <c r="E960" s="3" t="s">
        <v>776</v>
      </c>
      <c r="F960" s="19"/>
      <c r="G960" s="28">
        <f>G961</f>
        <v>1500</v>
      </c>
    </row>
    <row r="961" spans="1:7" ht="30" x14ac:dyDescent="0.2">
      <c r="A961" s="44" t="s">
        <v>102</v>
      </c>
      <c r="B961" s="3" t="s">
        <v>294</v>
      </c>
      <c r="C961" s="19" t="s">
        <v>9</v>
      </c>
      <c r="D961" s="19" t="s">
        <v>6</v>
      </c>
      <c r="E961" s="3" t="s">
        <v>776</v>
      </c>
      <c r="F961" s="19" t="s">
        <v>101</v>
      </c>
      <c r="G961" s="28">
        <v>1500</v>
      </c>
    </row>
    <row r="962" spans="1:7" x14ac:dyDescent="0.2">
      <c r="A962" s="44" t="s">
        <v>702</v>
      </c>
      <c r="B962" s="3" t="s">
        <v>294</v>
      </c>
      <c r="C962" s="19" t="s">
        <v>9</v>
      </c>
      <c r="D962" s="19" t="s">
        <v>6</v>
      </c>
      <c r="E962" s="3" t="s">
        <v>703</v>
      </c>
      <c r="F962" s="19"/>
      <c r="G962" s="28">
        <f>G963</f>
        <v>500</v>
      </c>
    </row>
    <row r="963" spans="1:7" ht="30" x14ac:dyDescent="0.2">
      <c r="A963" s="44" t="s">
        <v>102</v>
      </c>
      <c r="B963" s="3" t="s">
        <v>294</v>
      </c>
      <c r="C963" s="19" t="s">
        <v>9</v>
      </c>
      <c r="D963" s="19" t="s">
        <v>6</v>
      </c>
      <c r="E963" s="3" t="s">
        <v>703</v>
      </c>
      <c r="F963" s="19" t="s">
        <v>101</v>
      </c>
      <c r="G963" s="28">
        <v>500</v>
      </c>
    </row>
    <row r="964" spans="1:7" x14ac:dyDescent="0.2">
      <c r="A964" s="44" t="s">
        <v>446</v>
      </c>
      <c r="B964" s="3" t="s">
        <v>294</v>
      </c>
      <c r="C964" s="3" t="s">
        <v>9</v>
      </c>
      <c r="D964" s="3" t="s">
        <v>16</v>
      </c>
      <c r="E964" s="3"/>
      <c r="F964" s="3"/>
      <c r="G964" s="32">
        <f>G965+G969</f>
        <v>8300</v>
      </c>
    </row>
    <row r="965" spans="1:7" x14ac:dyDescent="0.2">
      <c r="A965" s="44" t="s">
        <v>115</v>
      </c>
      <c r="B965" s="3" t="s">
        <v>294</v>
      </c>
      <c r="C965" s="3" t="s">
        <v>9</v>
      </c>
      <c r="D965" s="3" t="s">
        <v>16</v>
      </c>
      <c r="E965" s="3" t="s">
        <v>122</v>
      </c>
      <c r="F965" s="3"/>
      <c r="G965" s="32">
        <f>G966</f>
        <v>5400</v>
      </c>
    </row>
    <row r="966" spans="1:7" x14ac:dyDescent="0.2">
      <c r="A966" s="44" t="s">
        <v>42</v>
      </c>
      <c r="B966" s="3" t="s">
        <v>294</v>
      </c>
      <c r="C966" s="3" t="s">
        <v>9</v>
      </c>
      <c r="D966" s="3" t="s">
        <v>16</v>
      </c>
      <c r="E966" s="3" t="s">
        <v>126</v>
      </c>
      <c r="F966" s="3"/>
      <c r="G966" s="32">
        <f>G967</f>
        <v>5400</v>
      </c>
    </row>
    <row r="967" spans="1:7" ht="30" x14ac:dyDescent="0.2">
      <c r="A967" s="44" t="s">
        <v>681</v>
      </c>
      <c r="B967" s="3" t="s">
        <v>294</v>
      </c>
      <c r="C967" s="3" t="s">
        <v>9</v>
      </c>
      <c r="D967" s="3" t="s">
        <v>16</v>
      </c>
      <c r="E967" s="3" t="s">
        <v>680</v>
      </c>
      <c r="F967" s="3"/>
      <c r="G967" s="32">
        <f>G968</f>
        <v>5400</v>
      </c>
    </row>
    <row r="968" spans="1:7" ht="30" x14ac:dyDescent="0.2">
      <c r="A968" s="44" t="s">
        <v>102</v>
      </c>
      <c r="B968" s="3" t="s">
        <v>294</v>
      </c>
      <c r="C968" s="3" t="s">
        <v>9</v>
      </c>
      <c r="D968" s="3" t="s">
        <v>16</v>
      </c>
      <c r="E968" s="3" t="s">
        <v>680</v>
      </c>
      <c r="F968" s="3" t="s">
        <v>101</v>
      </c>
      <c r="G968" s="32">
        <v>5400</v>
      </c>
    </row>
    <row r="969" spans="1:7" ht="30" x14ac:dyDescent="0.2">
      <c r="A969" s="59" t="s">
        <v>395</v>
      </c>
      <c r="B969" s="3" t="s">
        <v>294</v>
      </c>
      <c r="C969" s="3" t="s">
        <v>9</v>
      </c>
      <c r="D969" s="3" t="s">
        <v>16</v>
      </c>
      <c r="E969" s="3" t="s">
        <v>396</v>
      </c>
      <c r="F969" s="19"/>
      <c r="G969" s="28">
        <f>G970</f>
        <v>2900</v>
      </c>
    </row>
    <row r="970" spans="1:7" ht="30" x14ac:dyDescent="0.2">
      <c r="A970" s="18" t="s">
        <v>401</v>
      </c>
      <c r="B970" s="3" t="s">
        <v>294</v>
      </c>
      <c r="C970" s="19" t="s">
        <v>9</v>
      </c>
      <c r="D970" s="19" t="s">
        <v>16</v>
      </c>
      <c r="E970" s="3" t="s">
        <v>397</v>
      </c>
      <c r="F970" s="19"/>
      <c r="G970" s="28">
        <f>G971</f>
        <v>2900</v>
      </c>
    </row>
    <row r="971" spans="1:7" x14ac:dyDescent="0.2">
      <c r="A971" s="44" t="s">
        <v>447</v>
      </c>
      <c r="B971" s="3" t="s">
        <v>294</v>
      </c>
      <c r="C971" s="19" t="s">
        <v>9</v>
      </c>
      <c r="D971" s="19" t="s">
        <v>16</v>
      </c>
      <c r="E971" s="3" t="s">
        <v>448</v>
      </c>
      <c r="F971" s="19"/>
      <c r="G971" s="28">
        <f>G972</f>
        <v>2900</v>
      </c>
    </row>
    <row r="972" spans="1:7" x14ac:dyDescent="0.2">
      <c r="A972" s="44" t="s">
        <v>109</v>
      </c>
      <c r="B972" s="3" t="s">
        <v>294</v>
      </c>
      <c r="C972" s="19" t="s">
        <v>9</v>
      </c>
      <c r="D972" s="19" t="s">
        <v>16</v>
      </c>
      <c r="E972" s="3" t="s">
        <v>448</v>
      </c>
      <c r="F972" s="19" t="s">
        <v>104</v>
      </c>
      <c r="G972" s="28">
        <v>2900</v>
      </c>
    </row>
    <row r="973" spans="1:7" x14ac:dyDescent="0.2">
      <c r="A973" s="9" t="s">
        <v>43</v>
      </c>
      <c r="B973" s="3" t="s">
        <v>294</v>
      </c>
      <c r="C973" s="10" t="s">
        <v>9</v>
      </c>
      <c r="D973" s="10" t="s">
        <v>15</v>
      </c>
      <c r="E973" s="3"/>
      <c r="F973" s="10"/>
      <c r="G973" s="32">
        <f>G974+G977</f>
        <v>21359</v>
      </c>
    </row>
    <row r="974" spans="1:7" x14ac:dyDescent="0.2">
      <c r="A974" s="20" t="s">
        <v>115</v>
      </c>
      <c r="B974" s="3" t="s">
        <v>294</v>
      </c>
      <c r="C974" s="19" t="s">
        <v>9</v>
      </c>
      <c r="D974" s="19" t="s">
        <v>15</v>
      </c>
      <c r="E974" s="19" t="s">
        <v>122</v>
      </c>
      <c r="F974" s="26"/>
      <c r="G974" s="32">
        <f>G975</f>
        <v>8300</v>
      </c>
    </row>
    <row r="975" spans="1:7" ht="30" x14ac:dyDescent="0.2">
      <c r="A975" s="20" t="s">
        <v>329</v>
      </c>
      <c r="B975" s="3" t="s">
        <v>294</v>
      </c>
      <c r="C975" s="19" t="s">
        <v>9</v>
      </c>
      <c r="D975" s="19" t="s">
        <v>15</v>
      </c>
      <c r="E975" s="19" t="s">
        <v>669</v>
      </c>
      <c r="F975" s="26"/>
      <c r="G975" s="32">
        <f>G976</f>
        <v>8300</v>
      </c>
    </row>
    <row r="976" spans="1:7" x14ac:dyDescent="0.2">
      <c r="A976" s="44" t="s">
        <v>109</v>
      </c>
      <c r="B976" s="3" t="s">
        <v>294</v>
      </c>
      <c r="C976" s="19" t="s">
        <v>9</v>
      </c>
      <c r="D976" s="19" t="s">
        <v>15</v>
      </c>
      <c r="E976" s="19" t="s">
        <v>669</v>
      </c>
      <c r="F976" s="23" t="s">
        <v>104</v>
      </c>
      <c r="G976" s="32">
        <v>8300</v>
      </c>
    </row>
    <row r="977" spans="1:7" ht="30" x14ac:dyDescent="0.2">
      <c r="A977" s="1" t="s">
        <v>127</v>
      </c>
      <c r="B977" s="3" t="s">
        <v>294</v>
      </c>
      <c r="C977" s="10" t="s">
        <v>9</v>
      </c>
      <c r="D977" s="10" t="s">
        <v>15</v>
      </c>
      <c r="E977" s="3" t="s">
        <v>128</v>
      </c>
      <c r="F977" s="7"/>
      <c r="G977" s="32">
        <f>G978</f>
        <v>13059</v>
      </c>
    </row>
    <row r="978" spans="1:7" ht="30" x14ac:dyDescent="0.2">
      <c r="A978" s="1" t="s">
        <v>331</v>
      </c>
      <c r="B978" s="3" t="s">
        <v>294</v>
      </c>
      <c r="C978" s="10" t="s">
        <v>9</v>
      </c>
      <c r="D978" s="10" t="s">
        <v>15</v>
      </c>
      <c r="E978" s="3" t="s">
        <v>129</v>
      </c>
      <c r="F978" s="7"/>
      <c r="G978" s="32">
        <f>G979</f>
        <v>13059</v>
      </c>
    </row>
    <row r="979" spans="1:7" ht="30" x14ac:dyDescent="0.2">
      <c r="A979" s="9" t="s">
        <v>329</v>
      </c>
      <c r="B979" s="3" t="s">
        <v>294</v>
      </c>
      <c r="C979" s="23" t="s">
        <v>9</v>
      </c>
      <c r="D979" s="23" t="s">
        <v>15</v>
      </c>
      <c r="E979" s="3" t="s">
        <v>330</v>
      </c>
      <c r="F979" s="10"/>
      <c r="G979" s="32">
        <f>G980</f>
        <v>13059</v>
      </c>
    </row>
    <row r="980" spans="1:7" x14ac:dyDescent="0.2">
      <c r="A980" s="44" t="s">
        <v>109</v>
      </c>
      <c r="B980" s="3" t="s">
        <v>294</v>
      </c>
      <c r="C980" s="23" t="s">
        <v>9</v>
      </c>
      <c r="D980" s="23" t="s">
        <v>15</v>
      </c>
      <c r="E980" s="3" t="s">
        <v>330</v>
      </c>
      <c r="F980" s="10" t="s">
        <v>104</v>
      </c>
      <c r="G980" s="32">
        <v>13059</v>
      </c>
    </row>
    <row r="981" spans="1:7" x14ac:dyDescent="0.2">
      <c r="A981" s="45" t="s">
        <v>82</v>
      </c>
      <c r="B981" s="3" t="s">
        <v>294</v>
      </c>
      <c r="C981" s="3" t="s">
        <v>10</v>
      </c>
      <c r="D981" s="3"/>
      <c r="E981" s="3"/>
      <c r="F981" s="10"/>
      <c r="G981" s="32">
        <f>G982</f>
        <v>24222.6</v>
      </c>
    </row>
    <row r="982" spans="1:7" ht="30" x14ac:dyDescent="0.2">
      <c r="A982" s="45" t="s">
        <v>83</v>
      </c>
      <c r="B982" s="3" t="s">
        <v>294</v>
      </c>
      <c r="C982" s="23" t="s">
        <v>10</v>
      </c>
      <c r="D982" s="23" t="s">
        <v>15</v>
      </c>
      <c r="E982" s="3"/>
      <c r="F982" s="10"/>
      <c r="G982" s="32">
        <f>G990+G983</f>
        <v>24222.6</v>
      </c>
    </row>
    <row r="983" spans="1:7" ht="45" x14ac:dyDescent="0.2">
      <c r="A983" s="1" t="s">
        <v>483</v>
      </c>
      <c r="B983" s="3" t="s">
        <v>294</v>
      </c>
      <c r="C983" s="10" t="s">
        <v>10</v>
      </c>
      <c r="D983" s="10" t="s">
        <v>15</v>
      </c>
      <c r="E983" s="3" t="s">
        <v>487</v>
      </c>
      <c r="F983" s="10"/>
      <c r="G983" s="32">
        <f>G984</f>
        <v>9442.6</v>
      </c>
    </row>
    <row r="984" spans="1:7" ht="45" x14ac:dyDescent="0.2">
      <c r="A984" s="44" t="s">
        <v>778</v>
      </c>
      <c r="B984" s="3" t="s">
        <v>294</v>
      </c>
      <c r="C984" s="3" t="s">
        <v>10</v>
      </c>
      <c r="D984" s="3" t="s">
        <v>15</v>
      </c>
      <c r="E984" s="3" t="s">
        <v>781</v>
      </c>
      <c r="F984" s="3"/>
      <c r="G984" s="28">
        <f>G985</f>
        <v>9442.6</v>
      </c>
    </row>
    <row r="985" spans="1:7" ht="45" x14ac:dyDescent="0.2">
      <c r="A985" s="44" t="s">
        <v>779</v>
      </c>
      <c r="B985" s="3" t="s">
        <v>294</v>
      </c>
      <c r="C985" s="3" t="s">
        <v>10</v>
      </c>
      <c r="D985" s="3" t="s">
        <v>15</v>
      </c>
      <c r="E985" s="3" t="s">
        <v>782</v>
      </c>
      <c r="F985" s="3"/>
      <c r="G985" s="28">
        <f>G986+G988</f>
        <v>9442.6</v>
      </c>
    </row>
    <row r="986" spans="1:7" ht="30" x14ac:dyDescent="0.2">
      <c r="A986" s="44" t="s">
        <v>780</v>
      </c>
      <c r="B986" s="3" t="s">
        <v>294</v>
      </c>
      <c r="C986" s="3" t="s">
        <v>10</v>
      </c>
      <c r="D986" s="3" t="s">
        <v>15</v>
      </c>
      <c r="E986" s="3" t="s">
        <v>783</v>
      </c>
      <c r="F986" s="3"/>
      <c r="G986" s="28">
        <f>G987</f>
        <v>4760</v>
      </c>
    </row>
    <row r="987" spans="1:7" ht="30" x14ac:dyDescent="0.2">
      <c r="A987" s="44" t="s">
        <v>102</v>
      </c>
      <c r="B987" s="3" t="s">
        <v>294</v>
      </c>
      <c r="C987" s="3" t="s">
        <v>10</v>
      </c>
      <c r="D987" s="3" t="s">
        <v>15</v>
      </c>
      <c r="E987" s="3" t="s">
        <v>783</v>
      </c>
      <c r="F987" s="3" t="s">
        <v>101</v>
      </c>
      <c r="G987" s="28">
        <v>4760</v>
      </c>
    </row>
    <row r="988" spans="1:7" x14ac:dyDescent="0.2">
      <c r="A988" s="44" t="s">
        <v>784</v>
      </c>
      <c r="B988" s="3" t="s">
        <v>294</v>
      </c>
      <c r="C988" s="3" t="s">
        <v>10</v>
      </c>
      <c r="D988" s="3" t="s">
        <v>15</v>
      </c>
      <c r="E988" s="3" t="s">
        <v>785</v>
      </c>
      <c r="F988" s="3"/>
      <c r="G988" s="28">
        <f>G989</f>
        <v>4682.6000000000004</v>
      </c>
    </row>
    <row r="989" spans="1:7" ht="30" x14ac:dyDescent="0.2">
      <c r="A989" s="44" t="s">
        <v>102</v>
      </c>
      <c r="B989" s="3" t="s">
        <v>294</v>
      </c>
      <c r="C989" s="3" t="s">
        <v>10</v>
      </c>
      <c r="D989" s="3" t="s">
        <v>15</v>
      </c>
      <c r="E989" s="3" t="s">
        <v>785</v>
      </c>
      <c r="F989" s="3" t="s">
        <v>101</v>
      </c>
      <c r="G989" s="28">
        <v>4682.6000000000004</v>
      </c>
    </row>
    <row r="990" spans="1:7" ht="30" x14ac:dyDescent="0.2">
      <c r="A990" s="44" t="s">
        <v>127</v>
      </c>
      <c r="B990" s="3" t="s">
        <v>294</v>
      </c>
      <c r="C990" s="3" t="s">
        <v>10</v>
      </c>
      <c r="D990" s="3" t="s">
        <v>15</v>
      </c>
      <c r="E990" s="3" t="s">
        <v>128</v>
      </c>
      <c r="F990" s="3"/>
      <c r="G990" s="28">
        <f>G991</f>
        <v>14780</v>
      </c>
    </row>
    <row r="991" spans="1:7" ht="30" x14ac:dyDescent="0.2">
      <c r="A991" s="44" t="s">
        <v>331</v>
      </c>
      <c r="B991" s="3" t="s">
        <v>294</v>
      </c>
      <c r="C991" s="3" t="s">
        <v>10</v>
      </c>
      <c r="D991" s="3" t="s">
        <v>15</v>
      </c>
      <c r="E991" s="3" t="s">
        <v>129</v>
      </c>
      <c r="F991" s="3"/>
      <c r="G991" s="28">
        <f>G992</f>
        <v>14780</v>
      </c>
    </row>
    <row r="992" spans="1:7" x14ac:dyDescent="0.2">
      <c r="A992" s="44" t="s">
        <v>667</v>
      </c>
      <c r="B992" s="3" t="s">
        <v>294</v>
      </c>
      <c r="C992" s="3" t="s">
        <v>10</v>
      </c>
      <c r="D992" s="3" t="s">
        <v>15</v>
      </c>
      <c r="E992" s="3" t="s">
        <v>668</v>
      </c>
      <c r="F992" s="3"/>
      <c r="G992" s="28">
        <f>G993</f>
        <v>14780</v>
      </c>
    </row>
    <row r="993" spans="1:7" ht="30" x14ac:dyDescent="0.2">
      <c r="A993" s="44" t="s">
        <v>102</v>
      </c>
      <c r="B993" s="3" t="s">
        <v>294</v>
      </c>
      <c r="C993" s="3" t="s">
        <v>10</v>
      </c>
      <c r="D993" s="3" t="s">
        <v>15</v>
      </c>
      <c r="E993" s="3" t="s">
        <v>668</v>
      </c>
      <c r="F993" s="3" t="s">
        <v>101</v>
      </c>
      <c r="G993" s="28">
        <v>14780</v>
      </c>
    </row>
    <row r="994" spans="1:7" x14ac:dyDescent="0.2">
      <c r="A994" s="44"/>
      <c r="B994" s="3"/>
      <c r="C994" s="23"/>
      <c r="D994" s="23"/>
      <c r="E994" s="3"/>
      <c r="F994" s="10"/>
      <c r="G994" s="32"/>
    </row>
    <row r="995" spans="1:7" ht="57" x14ac:dyDescent="0.2">
      <c r="A995" s="25" t="s">
        <v>85</v>
      </c>
      <c r="B995" s="22" t="s">
        <v>306</v>
      </c>
      <c r="C995" s="22"/>
      <c r="D995" s="22"/>
      <c r="E995" s="22"/>
      <c r="F995" s="22"/>
      <c r="G995" s="80">
        <f>G996+G1018+G1036+G1043+G1075+G1012+G1083</f>
        <v>779004.7</v>
      </c>
    </row>
    <row r="996" spans="1:7" x14ac:dyDescent="0.2">
      <c r="A996" s="1" t="s">
        <v>5</v>
      </c>
      <c r="B996" s="3" t="s">
        <v>306</v>
      </c>
      <c r="C996" s="3" t="s">
        <v>6</v>
      </c>
      <c r="D996" s="3"/>
      <c r="E996" s="3"/>
      <c r="F996" s="3"/>
      <c r="G996" s="8">
        <f>G997+G1003</f>
        <v>127285</v>
      </c>
    </row>
    <row r="997" spans="1:7" ht="45" x14ac:dyDescent="0.2">
      <c r="A997" s="9" t="s">
        <v>26</v>
      </c>
      <c r="B997" s="3" t="s">
        <v>306</v>
      </c>
      <c r="C997" s="10" t="s">
        <v>6</v>
      </c>
      <c r="D997" s="10" t="s">
        <v>7</v>
      </c>
      <c r="E997" s="11"/>
      <c r="F997" s="10"/>
      <c r="G997" s="31">
        <f>G998</f>
        <v>64379.299999999996</v>
      </c>
    </row>
    <row r="998" spans="1:7" x14ac:dyDescent="0.2">
      <c r="A998" s="54" t="s">
        <v>115</v>
      </c>
      <c r="B998" s="3" t="s">
        <v>306</v>
      </c>
      <c r="C998" s="55" t="s">
        <v>6</v>
      </c>
      <c r="D998" s="55" t="s">
        <v>7</v>
      </c>
      <c r="E998" s="55" t="s">
        <v>122</v>
      </c>
      <c r="F998" s="3"/>
      <c r="G998" s="47">
        <f>G999</f>
        <v>64379.299999999996</v>
      </c>
    </row>
    <row r="999" spans="1:7" x14ac:dyDescent="0.2">
      <c r="A999" s="20" t="s">
        <v>8</v>
      </c>
      <c r="B999" s="3" t="s">
        <v>306</v>
      </c>
      <c r="C999" s="19" t="s">
        <v>6</v>
      </c>
      <c r="D999" s="55" t="s">
        <v>7</v>
      </c>
      <c r="E999" s="55" t="s">
        <v>123</v>
      </c>
      <c r="F999" s="19"/>
      <c r="G999" s="47">
        <f>SUM(G1000:G1002)</f>
        <v>64379.299999999996</v>
      </c>
    </row>
    <row r="1000" spans="1:7" ht="60" x14ac:dyDescent="0.2">
      <c r="A1000" s="44" t="s">
        <v>108</v>
      </c>
      <c r="B1000" s="3" t="s">
        <v>306</v>
      </c>
      <c r="C1000" s="19" t="s">
        <v>6</v>
      </c>
      <c r="D1000" s="55" t="s">
        <v>7</v>
      </c>
      <c r="E1000" s="55" t="s">
        <v>123</v>
      </c>
      <c r="F1000" s="19" t="s">
        <v>103</v>
      </c>
      <c r="G1000" s="47">
        <f>38338.2+3850.2+6039+3672.3</f>
        <v>51899.7</v>
      </c>
    </row>
    <row r="1001" spans="1:7" ht="30" x14ac:dyDescent="0.2">
      <c r="A1001" s="44" t="s">
        <v>102</v>
      </c>
      <c r="B1001" s="3" t="s">
        <v>306</v>
      </c>
      <c r="C1001" s="19" t="s">
        <v>6</v>
      </c>
      <c r="D1001" s="55" t="s">
        <v>7</v>
      </c>
      <c r="E1001" s="55" t="s">
        <v>123</v>
      </c>
      <c r="F1001" s="19" t="s">
        <v>101</v>
      </c>
      <c r="G1001" s="47">
        <f>11017.1+1354</f>
        <v>12371.1</v>
      </c>
    </row>
    <row r="1002" spans="1:7" x14ac:dyDescent="0.2">
      <c r="A1002" s="44" t="s">
        <v>109</v>
      </c>
      <c r="B1002" s="3" t="s">
        <v>306</v>
      </c>
      <c r="C1002" s="19" t="s">
        <v>6</v>
      </c>
      <c r="D1002" s="55" t="s">
        <v>7</v>
      </c>
      <c r="E1002" s="55" t="s">
        <v>123</v>
      </c>
      <c r="F1002" s="19" t="s">
        <v>104</v>
      </c>
      <c r="G1002" s="47">
        <v>108.5</v>
      </c>
    </row>
    <row r="1003" spans="1:7" x14ac:dyDescent="0.2">
      <c r="A1003" s="1" t="s">
        <v>42</v>
      </c>
      <c r="B1003" s="3" t="s">
        <v>306</v>
      </c>
      <c r="C1003" s="3" t="s">
        <v>6</v>
      </c>
      <c r="D1003" s="3" t="s">
        <v>50</v>
      </c>
      <c r="E1003" s="3"/>
      <c r="F1003" s="3"/>
      <c r="G1003" s="8">
        <f>G1004</f>
        <v>62905.7</v>
      </c>
    </row>
    <row r="1004" spans="1:7" x14ac:dyDescent="0.2">
      <c r="A1004" s="20" t="s">
        <v>115</v>
      </c>
      <c r="B1004" s="3" t="s">
        <v>306</v>
      </c>
      <c r="C1004" s="3" t="s">
        <v>6</v>
      </c>
      <c r="D1004" s="3" t="s">
        <v>50</v>
      </c>
      <c r="E1004" s="55" t="s">
        <v>122</v>
      </c>
      <c r="F1004" s="19"/>
      <c r="G1004" s="47">
        <f>G1005+G1007+G1009</f>
        <v>62905.7</v>
      </c>
    </row>
    <row r="1005" spans="1:7" x14ac:dyDescent="0.2">
      <c r="A1005" s="44" t="s">
        <v>94</v>
      </c>
      <c r="B1005" s="3" t="s">
        <v>306</v>
      </c>
      <c r="C1005" s="3" t="s">
        <v>6</v>
      </c>
      <c r="D1005" s="3" t="s">
        <v>50</v>
      </c>
      <c r="E1005" s="55" t="s">
        <v>146</v>
      </c>
      <c r="F1005" s="19"/>
      <c r="G1005" s="47">
        <f>G1006</f>
        <v>51.1</v>
      </c>
    </row>
    <row r="1006" spans="1:7" x14ac:dyDescent="0.2">
      <c r="A1006" s="44" t="s">
        <v>109</v>
      </c>
      <c r="B1006" s="3" t="s">
        <v>306</v>
      </c>
      <c r="C1006" s="3" t="s">
        <v>6</v>
      </c>
      <c r="D1006" s="3" t="s">
        <v>50</v>
      </c>
      <c r="E1006" s="55" t="s">
        <v>146</v>
      </c>
      <c r="F1006" s="19" t="s">
        <v>104</v>
      </c>
      <c r="G1006" s="47">
        <v>51.1</v>
      </c>
    </row>
    <row r="1007" spans="1:7" x14ac:dyDescent="0.2">
      <c r="A1007" s="44" t="s">
        <v>674</v>
      </c>
      <c r="B1007" s="3" t="s">
        <v>306</v>
      </c>
      <c r="C1007" s="3" t="s">
        <v>6</v>
      </c>
      <c r="D1007" s="3" t="s">
        <v>50</v>
      </c>
      <c r="E1007" s="55" t="s">
        <v>675</v>
      </c>
      <c r="F1007" s="19"/>
      <c r="G1007" s="47">
        <f>G1008</f>
        <v>47414.9</v>
      </c>
    </row>
    <row r="1008" spans="1:7" ht="30" x14ac:dyDescent="0.2">
      <c r="A1008" s="20" t="s">
        <v>677</v>
      </c>
      <c r="B1008" s="3" t="s">
        <v>306</v>
      </c>
      <c r="C1008" s="3" t="s">
        <v>6</v>
      </c>
      <c r="D1008" s="3" t="s">
        <v>50</v>
      </c>
      <c r="E1008" s="55" t="s">
        <v>675</v>
      </c>
      <c r="F1008" s="19" t="s">
        <v>676</v>
      </c>
      <c r="G1008" s="47">
        <f>24677.4+2952+981+18804.5</f>
        <v>47414.9</v>
      </c>
    </row>
    <row r="1009" spans="1:7" x14ac:dyDescent="0.2">
      <c r="A1009" s="44" t="s">
        <v>42</v>
      </c>
      <c r="B1009" s="3" t="s">
        <v>306</v>
      </c>
      <c r="C1009" s="3" t="s">
        <v>6</v>
      </c>
      <c r="D1009" s="3" t="s">
        <v>50</v>
      </c>
      <c r="E1009" s="55" t="s">
        <v>126</v>
      </c>
      <c r="F1009" s="19"/>
      <c r="G1009" s="47">
        <f>G1010</f>
        <v>15439.7</v>
      </c>
    </row>
    <row r="1010" spans="1:7" ht="30" x14ac:dyDescent="0.2">
      <c r="A1010" s="44" t="s">
        <v>672</v>
      </c>
      <c r="B1010" s="3" t="s">
        <v>306</v>
      </c>
      <c r="C1010" s="3" t="s">
        <v>6</v>
      </c>
      <c r="D1010" s="3" t="s">
        <v>50</v>
      </c>
      <c r="E1010" s="55" t="s">
        <v>673</v>
      </c>
      <c r="F1010" s="19"/>
      <c r="G1010" s="47">
        <f>G1011</f>
        <v>15439.7</v>
      </c>
    </row>
    <row r="1011" spans="1:7" ht="30" x14ac:dyDescent="0.2">
      <c r="A1011" s="44" t="s">
        <v>102</v>
      </c>
      <c r="B1011" s="3" t="s">
        <v>306</v>
      </c>
      <c r="C1011" s="3" t="s">
        <v>6</v>
      </c>
      <c r="D1011" s="3" t="s">
        <v>50</v>
      </c>
      <c r="E1011" s="55" t="s">
        <v>673</v>
      </c>
      <c r="F1011" s="19" t="s">
        <v>101</v>
      </c>
      <c r="G1011" s="47">
        <f>3101.1+724+3200+5920.8+2493.8</f>
        <v>15439.7</v>
      </c>
    </row>
    <row r="1012" spans="1:7" x14ac:dyDescent="0.2">
      <c r="A1012" s="1" t="s">
        <v>19</v>
      </c>
      <c r="B1012" s="3" t="s">
        <v>306</v>
      </c>
      <c r="C1012" s="3" t="s">
        <v>7</v>
      </c>
      <c r="D1012" s="3"/>
      <c r="E1012" s="55"/>
      <c r="F1012" s="3"/>
      <c r="G1012" s="31">
        <f>G1013</f>
        <v>2931</v>
      </c>
    </row>
    <row r="1013" spans="1:7" x14ac:dyDescent="0.2">
      <c r="A1013" s="44" t="s">
        <v>643</v>
      </c>
      <c r="B1013" s="3" t="s">
        <v>306</v>
      </c>
      <c r="C1013" s="3" t="s">
        <v>7</v>
      </c>
      <c r="D1013" s="3" t="s">
        <v>520</v>
      </c>
      <c r="E1013" s="3"/>
      <c r="F1013" s="3"/>
      <c r="G1013" s="77">
        <f>G1014</f>
        <v>2931</v>
      </c>
    </row>
    <row r="1014" spans="1:7" x14ac:dyDescent="0.2">
      <c r="A1014" s="44" t="s">
        <v>115</v>
      </c>
      <c r="B1014" s="3" t="s">
        <v>306</v>
      </c>
      <c r="C1014" s="3" t="s">
        <v>7</v>
      </c>
      <c r="D1014" s="3" t="s">
        <v>520</v>
      </c>
      <c r="E1014" s="3" t="s">
        <v>122</v>
      </c>
      <c r="F1014" s="3"/>
      <c r="G1014" s="78">
        <f>G1015</f>
        <v>2931</v>
      </c>
    </row>
    <row r="1015" spans="1:7" ht="30" x14ac:dyDescent="0.2">
      <c r="A1015" s="44" t="s">
        <v>100</v>
      </c>
      <c r="B1015" s="3" t="s">
        <v>306</v>
      </c>
      <c r="C1015" s="3" t="s">
        <v>7</v>
      </c>
      <c r="D1015" s="3" t="s">
        <v>520</v>
      </c>
      <c r="E1015" s="58" t="s">
        <v>126</v>
      </c>
      <c r="F1015" s="19"/>
      <c r="G1015" s="78">
        <f>G1016</f>
        <v>2931</v>
      </c>
    </row>
    <row r="1016" spans="1:7" ht="30" x14ac:dyDescent="0.2">
      <c r="A1016" s="44" t="s">
        <v>715</v>
      </c>
      <c r="B1016" s="3" t="s">
        <v>306</v>
      </c>
      <c r="C1016" s="3" t="s">
        <v>7</v>
      </c>
      <c r="D1016" s="3" t="s">
        <v>520</v>
      </c>
      <c r="E1016" s="58" t="s">
        <v>716</v>
      </c>
      <c r="F1016" s="19"/>
      <c r="G1016" s="78">
        <f>G1017</f>
        <v>2931</v>
      </c>
    </row>
    <row r="1017" spans="1:7" ht="30" x14ac:dyDescent="0.2">
      <c r="A1017" s="44" t="s">
        <v>102</v>
      </c>
      <c r="B1017" s="3" t="s">
        <v>306</v>
      </c>
      <c r="C1017" s="3" t="s">
        <v>7</v>
      </c>
      <c r="D1017" s="3" t="s">
        <v>520</v>
      </c>
      <c r="E1017" s="58" t="s">
        <v>716</v>
      </c>
      <c r="F1017" s="19" t="s">
        <v>101</v>
      </c>
      <c r="G1017" s="78">
        <v>2931</v>
      </c>
    </row>
    <row r="1018" spans="1:7" x14ac:dyDescent="0.2">
      <c r="A1018" s="44" t="s">
        <v>22</v>
      </c>
      <c r="B1018" s="3" t="s">
        <v>306</v>
      </c>
      <c r="C1018" s="3" t="s">
        <v>9</v>
      </c>
      <c r="D1018" s="3"/>
      <c r="E1018" s="55"/>
      <c r="F1018" s="19"/>
      <c r="G1018" s="47">
        <f>G1019+G1024+G1031</f>
        <v>403491.5</v>
      </c>
    </row>
    <row r="1019" spans="1:7" x14ac:dyDescent="0.2">
      <c r="A1019" s="1" t="s">
        <v>446</v>
      </c>
      <c r="B1019" s="3" t="s">
        <v>306</v>
      </c>
      <c r="C1019" s="3" t="s">
        <v>9</v>
      </c>
      <c r="D1019" s="3" t="s">
        <v>16</v>
      </c>
      <c r="E1019" s="3"/>
      <c r="F1019" s="3"/>
      <c r="G1019" s="32">
        <f>G1020</f>
        <v>354576.8</v>
      </c>
    </row>
    <row r="1020" spans="1:7" ht="45" x14ac:dyDescent="0.2">
      <c r="A1020" s="20" t="s">
        <v>682</v>
      </c>
      <c r="B1020" s="3" t="s">
        <v>306</v>
      </c>
      <c r="C1020" s="19" t="s">
        <v>9</v>
      </c>
      <c r="D1020" s="19" t="s">
        <v>16</v>
      </c>
      <c r="E1020" s="19" t="s">
        <v>302</v>
      </c>
      <c r="F1020" s="19"/>
      <c r="G1020" s="28">
        <f>G1021</f>
        <v>354576.8</v>
      </c>
    </row>
    <row r="1021" spans="1:7" ht="75" x14ac:dyDescent="0.2">
      <c r="A1021" s="20" t="s">
        <v>683</v>
      </c>
      <c r="B1021" s="3" t="s">
        <v>306</v>
      </c>
      <c r="C1021" s="19" t="s">
        <v>9</v>
      </c>
      <c r="D1021" s="19" t="s">
        <v>16</v>
      </c>
      <c r="E1021" s="19" t="s">
        <v>684</v>
      </c>
      <c r="F1021" s="19"/>
      <c r="G1021" s="28">
        <f>G1022</f>
        <v>354576.8</v>
      </c>
    </row>
    <row r="1022" spans="1:7" ht="45" x14ac:dyDescent="0.2">
      <c r="A1022" s="20" t="s">
        <v>685</v>
      </c>
      <c r="B1022" s="3" t="s">
        <v>306</v>
      </c>
      <c r="C1022" s="19" t="s">
        <v>9</v>
      </c>
      <c r="D1022" s="19" t="s">
        <v>16</v>
      </c>
      <c r="E1022" s="19" t="s">
        <v>686</v>
      </c>
      <c r="F1022" s="19"/>
      <c r="G1022" s="28">
        <f>G1023</f>
        <v>354576.8</v>
      </c>
    </row>
    <row r="1023" spans="1:7" ht="30" x14ac:dyDescent="0.2">
      <c r="A1023" s="20" t="s">
        <v>677</v>
      </c>
      <c r="B1023" s="3" t="s">
        <v>306</v>
      </c>
      <c r="C1023" s="19" t="s">
        <v>9</v>
      </c>
      <c r="D1023" s="19" t="s">
        <v>16</v>
      </c>
      <c r="E1023" s="19" t="s">
        <v>686</v>
      </c>
      <c r="F1023" s="19" t="s">
        <v>676</v>
      </c>
      <c r="G1023" s="28">
        <f>116000+200496.8+38080</f>
        <v>354576.8</v>
      </c>
    </row>
    <row r="1024" spans="1:7" x14ac:dyDescent="0.2">
      <c r="A1024" s="9" t="s">
        <v>43</v>
      </c>
      <c r="B1024" s="3" t="s">
        <v>306</v>
      </c>
      <c r="C1024" s="10" t="s">
        <v>9</v>
      </c>
      <c r="D1024" s="10" t="s">
        <v>15</v>
      </c>
      <c r="E1024" s="3"/>
      <c r="F1024" s="10"/>
      <c r="G1024" s="32">
        <f>G1025</f>
        <v>43099.7</v>
      </c>
    </row>
    <row r="1025" spans="1:7" x14ac:dyDescent="0.2">
      <c r="A1025" s="20" t="s">
        <v>115</v>
      </c>
      <c r="B1025" s="3" t="s">
        <v>306</v>
      </c>
      <c r="C1025" s="19" t="s">
        <v>9</v>
      </c>
      <c r="D1025" s="19" t="s">
        <v>15</v>
      </c>
      <c r="E1025" s="19" t="s">
        <v>122</v>
      </c>
      <c r="F1025" s="26"/>
      <c r="G1025" s="28">
        <f>G1026+G1028</f>
        <v>43099.7</v>
      </c>
    </row>
    <row r="1026" spans="1:7" ht="30" x14ac:dyDescent="0.2">
      <c r="A1026" s="20" t="s">
        <v>329</v>
      </c>
      <c r="B1026" s="3" t="s">
        <v>306</v>
      </c>
      <c r="C1026" s="19" t="s">
        <v>9</v>
      </c>
      <c r="D1026" s="19" t="s">
        <v>15</v>
      </c>
      <c r="E1026" s="19" t="s">
        <v>669</v>
      </c>
      <c r="F1026" s="26"/>
      <c r="G1026" s="28">
        <f>G1027</f>
        <v>22183.200000000001</v>
      </c>
    </row>
    <row r="1027" spans="1:7" ht="30" x14ac:dyDescent="0.2">
      <c r="A1027" s="20" t="s">
        <v>102</v>
      </c>
      <c r="B1027" s="3" t="s">
        <v>306</v>
      </c>
      <c r="C1027" s="19" t="s">
        <v>9</v>
      </c>
      <c r="D1027" s="19" t="s">
        <v>15</v>
      </c>
      <c r="E1027" s="19" t="s">
        <v>669</v>
      </c>
      <c r="F1027" s="23" t="s">
        <v>101</v>
      </c>
      <c r="G1027" s="28">
        <f>21913.2+270</f>
        <v>22183.200000000001</v>
      </c>
    </row>
    <row r="1028" spans="1:7" x14ac:dyDescent="0.2">
      <c r="A1028" s="44" t="s">
        <v>42</v>
      </c>
      <c r="B1028" s="3" t="s">
        <v>306</v>
      </c>
      <c r="C1028" s="19" t="s">
        <v>9</v>
      </c>
      <c r="D1028" s="19" t="s">
        <v>15</v>
      </c>
      <c r="E1028" s="19" t="s">
        <v>126</v>
      </c>
      <c r="F1028" s="23"/>
      <c r="G1028" s="28">
        <f>G1029</f>
        <v>20916.5</v>
      </c>
    </row>
    <row r="1029" spans="1:7" ht="30" x14ac:dyDescent="0.2">
      <c r="A1029" s="20" t="s">
        <v>672</v>
      </c>
      <c r="B1029" s="3" t="s">
        <v>306</v>
      </c>
      <c r="C1029" s="19" t="s">
        <v>9</v>
      </c>
      <c r="D1029" s="19" t="s">
        <v>15</v>
      </c>
      <c r="E1029" s="3" t="s">
        <v>673</v>
      </c>
      <c r="F1029" s="3"/>
      <c r="G1029" s="28">
        <f>G1030</f>
        <v>20916.5</v>
      </c>
    </row>
    <row r="1030" spans="1:7" ht="30" x14ac:dyDescent="0.2">
      <c r="A1030" s="20" t="s">
        <v>102</v>
      </c>
      <c r="B1030" s="3" t="s">
        <v>306</v>
      </c>
      <c r="C1030" s="19" t="s">
        <v>9</v>
      </c>
      <c r="D1030" s="19" t="s">
        <v>15</v>
      </c>
      <c r="E1030" s="3" t="s">
        <v>673</v>
      </c>
      <c r="F1030" s="3" t="s">
        <v>101</v>
      </c>
      <c r="G1030" s="28">
        <v>20916.5</v>
      </c>
    </row>
    <row r="1031" spans="1:7" x14ac:dyDescent="0.2">
      <c r="A1031" s="1" t="s">
        <v>786</v>
      </c>
      <c r="B1031" s="3" t="s">
        <v>306</v>
      </c>
      <c r="C1031" s="19" t="s">
        <v>9</v>
      </c>
      <c r="D1031" s="19" t="s">
        <v>9</v>
      </c>
      <c r="E1031" s="3"/>
      <c r="F1031" s="3"/>
      <c r="G1031" s="28">
        <f>G1032</f>
        <v>5815</v>
      </c>
    </row>
    <row r="1032" spans="1:7" x14ac:dyDescent="0.2">
      <c r="A1032" s="44" t="s">
        <v>115</v>
      </c>
      <c r="B1032" s="3" t="s">
        <v>306</v>
      </c>
      <c r="C1032" s="3" t="s">
        <v>9</v>
      </c>
      <c r="D1032" s="3" t="s">
        <v>9</v>
      </c>
      <c r="E1032" s="3" t="s">
        <v>122</v>
      </c>
      <c r="F1032" s="19"/>
      <c r="G1032" s="47">
        <f>G1033</f>
        <v>5815</v>
      </c>
    </row>
    <row r="1033" spans="1:7" x14ac:dyDescent="0.2">
      <c r="A1033" s="20" t="s">
        <v>674</v>
      </c>
      <c r="B1033" s="3" t="s">
        <v>306</v>
      </c>
      <c r="C1033" s="3" t="s">
        <v>9</v>
      </c>
      <c r="D1033" s="3" t="s">
        <v>9</v>
      </c>
      <c r="E1033" s="3" t="s">
        <v>675</v>
      </c>
      <c r="F1033" s="19"/>
      <c r="G1033" s="47">
        <f>SUM(G1034:G1035)</f>
        <v>5815</v>
      </c>
    </row>
    <row r="1034" spans="1:7" ht="30" x14ac:dyDescent="0.2">
      <c r="A1034" s="44" t="s">
        <v>102</v>
      </c>
      <c r="B1034" s="3" t="s">
        <v>306</v>
      </c>
      <c r="C1034" s="3" t="s">
        <v>9</v>
      </c>
      <c r="D1034" s="3" t="s">
        <v>9</v>
      </c>
      <c r="E1034" s="3" t="s">
        <v>675</v>
      </c>
      <c r="F1034" s="19" t="s">
        <v>101</v>
      </c>
      <c r="G1034" s="47">
        <v>1015</v>
      </c>
    </row>
    <row r="1035" spans="1:7" ht="30" x14ac:dyDescent="0.2">
      <c r="A1035" s="1" t="s">
        <v>677</v>
      </c>
      <c r="B1035" s="3" t="s">
        <v>306</v>
      </c>
      <c r="C1035" s="3" t="s">
        <v>9</v>
      </c>
      <c r="D1035" s="3" t="s">
        <v>9</v>
      </c>
      <c r="E1035" s="3" t="s">
        <v>675</v>
      </c>
      <c r="F1035" s="19" t="s">
        <v>676</v>
      </c>
      <c r="G1035" s="47">
        <v>4800</v>
      </c>
    </row>
    <row r="1036" spans="1:7" x14ac:dyDescent="0.2">
      <c r="A1036" s="45" t="s">
        <v>82</v>
      </c>
      <c r="B1036" s="3" t="s">
        <v>306</v>
      </c>
      <c r="C1036" s="3" t="s">
        <v>10</v>
      </c>
      <c r="D1036" s="3"/>
      <c r="E1036" s="55"/>
      <c r="F1036" s="19"/>
      <c r="G1036" s="47">
        <f t="shared" ref="G1036:G1041" si="6">G1037</f>
        <v>70000</v>
      </c>
    </row>
    <row r="1037" spans="1:7" ht="30" x14ac:dyDescent="0.2">
      <c r="A1037" s="45" t="s">
        <v>83</v>
      </c>
      <c r="B1037" s="3" t="s">
        <v>306</v>
      </c>
      <c r="C1037" s="3" t="s">
        <v>10</v>
      </c>
      <c r="D1037" s="3" t="s">
        <v>15</v>
      </c>
      <c r="E1037" s="3"/>
      <c r="F1037" s="3"/>
      <c r="G1037" s="32">
        <f t="shared" si="6"/>
        <v>70000</v>
      </c>
    </row>
    <row r="1038" spans="1:7" ht="45" x14ac:dyDescent="0.2">
      <c r="A1038" s="1" t="s">
        <v>483</v>
      </c>
      <c r="B1038" s="3" t="s">
        <v>306</v>
      </c>
      <c r="C1038" s="10" t="s">
        <v>10</v>
      </c>
      <c r="D1038" s="10" t="s">
        <v>15</v>
      </c>
      <c r="E1038" s="3" t="s">
        <v>487</v>
      </c>
      <c r="F1038" s="3"/>
      <c r="G1038" s="32">
        <f t="shared" si="6"/>
        <v>70000</v>
      </c>
    </row>
    <row r="1039" spans="1:7" ht="30" x14ac:dyDescent="0.2">
      <c r="A1039" s="1" t="s">
        <v>484</v>
      </c>
      <c r="B1039" s="3" t="s">
        <v>306</v>
      </c>
      <c r="C1039" s="10" t="s">
        <v>10</v>
      </c>
      <c r="D1039" s="10" t="s">
        <v>15</v>
      </c>
      <c r="E1039" s="3" t="s">
        <v>488</v>
      </c>
      <c r="F1039" s="3"/>
      <c r="G1039" s="32">
        <f t="shared" si="6"/>
        <v>70000</v>
      </c>
    </row>
    <row r="1040" spans="1:7" x14ac:dyDescent="0.2">
      <c r="A1040" s="1" t="s">
        <v>485</v>
      </c>
      <c r="B1040" s="3" t="s">
        <v>306</v>
      </c>
      <c r="C1040" s="10" t="s">
        <v>10</v>
      </c>
      <c r="D1040" s="10" t="s">
        <v>15</v>
      </c>
      <c r="E1040" s="3" t="s">
        <v>489</v>
      </c>
      <c r="F1040" s="3"/>
      <c r="G1040" s="32">
        <f t="shared" si="6"/>
        <v>70000</v>
      </c>
    </row>
    <row r="1041" spans="1:7" x14ac:dyDescent="0.2">
      <c r="A1041" s="45" t="s">
        <v>486</v>
      </c>
      <c r="B1041" s="3" t="s">
        <v>306</v>
      </c>
      <c r="C1041" s="3" t="s">
        <v>10</v>
      </c>
      <c r="D1041" s="3" t="s">
        <v>15</v>
      </c>
      <c r="E1041" s="3" t="s">
        <v>490</v>
      </c>
      <c r="F1041" s="3"/>
      <c r="G1041" s="32">
        <f t="shared" si="6"/>
        <v>70000</v>
      </c>
    </row>
    <row r="1042" spans="1:7" ht="30" x14ac:dyDescent="0.2">
      <c r="A1042" s="44" t="s">
        <v>102</v>
      </c>
      <c r="B1042" s="3" t="s">
        <v>306</v>
      </c>
      <c r="C1042" s="3" t="s">
        <v>10</v>
      </c>
      <c r="D1042" s="3" t="s">
        <v>15</v>
      </c>
      <c r="E1042" s="3" t="s">
        <v>490</v>
      </c>
      <c r="F1042" s="3" t="s">
        <v>101</v>
      </c>
      <c r="G1042" s="32">
        <v>70000</v>
      </c>
    </row>
    <row r="1043" spans="1:7" x14ac:dyDescent="0.2">
      <c r="A1043" s="44" t="s">
        <v>29</v>
      </c>
      <c r="B1043" s="3" t="s">
        <v>306</v>
      </c>
      <c r="C1043" s="3" t="s">
        <v>30</v>
      </c>
      <c r="D1043" s="3"/>
      <c r="E1043" s="3"/>
      <c r="F1043" s="3"/>
      <c r="G1043" s="32">
        <f>G1044+G1051+G1068+G1063</f>
        <v>116879.09999999999</v>
      </c>
    </row>
    <row r="1044" spans="1:7" x14ac:dyDescent="0.2">
      <c r="A1044" s="1" t="s">
        <v>31</v>
      </c>
      <c r="B1044" s="3" t="s">
        <v>306</v>
      </c>
      <c r="C1044" s="3" t="s">
        <v>30</v>
      </c>
      <c r="D1044" s="3" t="s">
        <v>6</v>
      </c>
      <c r="E1044" s="3"/>
      <c r="F1044" s="3"/>
      <c r="G1044" s="32">
        <f>G1045</f>
        <v>105528.5</v>
      </c>
    </row>
    <row r="1045" spans="1:7" x14ac:dyDescent="0.2">
      <c r="A1045" s="20" t="s">
        <v>115</v>
      </c>
      <c r="B1045" s="3" t="s">
        <v>306</v>
      </c>
      <c r="C1045" s="19" t="s">
        <v>30</v>
      </c>
      <c r="D1045" s="19" t="s">
        <v>6</v>
      </c>
      <c r="E1045" s="19" t="s">
        <v>122</v>
      </c>
      <c r="F1045" s="19"/>
      <c r="G1045" s="32">
        <f>G1046+G1048</f>
        <v>105528.5</v>
      </c>
    </row>
    <row r="1046" spans="1:7" x14ac:dyDescent="0.2">
      <c r="A1046" s="20" t="s">
        <v>674</v>
      </c>
      <c r="B1046" s="3" t="s">
        <v>306</v>
      </c>
      <c r="C1046" s="19" t="s">
        <v>30</v>
      </c>
      <c r="D1046" s="19" t="s">
        <v>6</v>
      </c>
      <c r="E1046" s="57" t="s">
        <v>675</v>
      </c>
      <c r="F1046" s="19"/>
      <c r="G1046" s="32">
        <f>G1047</f>
        <v>2165.5</v>
      </c>
    </row>
    <row r="1047" spans="1:7" ht="30" x14ac:dyDescent="0.2">
      <c r="A1047" s="20" t="s">
        <v>677</v>
      </c>
      <c r="B1047" s="3" t="s">
        <v>306</v>
      </c>
      <c r="C1047" s="19" t="s">
        <v>30</v>
      </c>
      <c r="D1047" s="19" t="s">
        <v>6</v>
      </c>
      <c r="E1047" s="57" t="s">
        <v>675</v>
      </c>
      <c r="F1047" s="19" t="s">
        <v>676</v>
      </c>
      <c r="G1047" s="32">
        <v>2165.5</v>
      </c>
    </row>
    <row r="1048" spans="1:7" ht="30" x14ac:dyDescent="0.2">
      <c r="A1048" s="45" t="s">
        <v>100</v>
      </c>
      <c r="B1048" s="3" t="s">
        <v>306</v>
      </c>
      <c r="C1048" s="19" t="s">
        <v>30</v>
      </c>
      <c r="D1048" s="19" t="s">
        <v>6</v>
      </c>
      <c r="E1048" s="57" t="s">
        <v>126</v>
      </c>
      <c r="F1048" s="19"/>
      <c r="G1048" s="28">
        <f>G1049</f>
        <v>103363</v>
      </c>
    </row>
    <row r="1049" spans="1:7" ht="36.75" customHeight="1" x14ac:dyDescent="0.2">
      <c r="A1049" s="44" t="s">
        <v>679</v>
      </c>
      <c r="B1049" s="3" t="s">
        <v>306</v>
      </c>
      <c r="C1049" s="19" t="s">
        <v>30</v>
      </c>
      <c r="D1049" s="19" t="s">
        <v>6</v>
      </c>
      <c r="E1049" s="57" t="s">
        <v>678</v>
      </c>
      <c r="F1049" s="19"/>
      <c r="G1049" s="28">
        <f>G1050</f>
        <v>103363</v>
      </c>
    </row>
    <row r="1050" spans="1:7" ht="30" x14ac:dyDescent="0.2">
      <c r="A1050" s="44" t="s">
        <v>102</v>
      </c>
      <c r="B1050" s="3" t="s">
        <v>306</v>
      </c>
      <c r="C1050" s="19" t="s">
        <v>30</v>
      </c>
      <c r="D1050" s="19" t="s">
        <v>6</v>
      </c>
      <c r="E1050" s="57" t="s">
        <v>678</v>
      </c>
      <c r="F1050" s="19" t="s">
        <v>101</v>
      </c>
      <c r="G1050" s="28">
        <v>103363</v>
      </c>
    </row>
    <row r="1051" spans="1:7" x14ac:dyDescent="0.2">
      <c r="A1051" s="1" t="s">
        <v>32</v>
      </c>
      <c r="B1051" s="3" t="s">
        <v>306</v>
      </c>
      <c r="C1051" s="3" t="s">
        <v>30</v>
      </c>
      <c r="D1051" s="3" t="s">
        <v>16</v>
      </c>
      <c r="E1051" s="3"/>
      <c r="F1051" s="3"/>
      <c r="G1051" s="32">
        <f>G1052+G1056</f>
        <v>5813.7000000000007</v>
      </c>
    </row>
    <row r="1052" spans="1:7" ht="30" x14ac:dyDescent="0.2">
      <c r="A1052" s="71" t="s">
        <v>502</v>
      </c>
      <c r="B1052" s="3" t="s">
        <v>306</v>
      </c>
      <c r="C1052" s="19" t="s">
        <v>30</v>
      </c>
      <c r="D1052" s="19" t="s">
        <v>16</v>
      </c>
      <c r="E1052" s="57" t="s">
        <v>221</v>
      </c>
      <c r="F1052" s="3"/>
      <c r="G1052" s="32">
        <f>G1053</f>
        <v>269.10000000000002</v>
      </c>
    </row>
    <row r="1053" spans="1:7" ht="45" x14ac:dyDescent="0.2">
      <c r="A1053" s="56" t="s">
        <v>810</v>
      </c>
      <c r="B1053" s="3" t="s">
        <v>306</v>
      </c>
      <c r="C1053" s="92" t="s">
        <v>30</v>
      </c>
      <c r="D1053" s="92" t="s">
        <v>16</v>
      </c>
      <c r="E1053" s="93" t="s">
        <v>811</v>
      </c>
      <c r="F1053" s="19"/>
      <c r="G1053" s="32">
        <f>G1054</f>
        <v>269.10000000000002</v>
      </c>
    </row>
    <row r="1054" spans="1:7" ht="45" x14ac:dyDescent="0.2">
      <c r="A1054" s="56" t="s">
        <v>685</v>
      </c>
      <c r="B1054" s="3" t="s">
        <v>306</v>
      </c>
      <c r="C1054" s="92" t="s">
        <v>30</v>
      </c>
      <c r="D1054" s="92" t="s">
        <v>16</v>
      </c>
      <c r="E1054" s="93" t="s">
        <v>812</v>
      </c>
      <c r="F1054" s="19"/>
      <c r="G1054" s="32">
        <f>G1055</f>
        <v>269.10000000000002</v>
      </c>
    </row>
    <row r="1055" spans="1:7" ht="30" x14ac:dyDescent="0.2">
      <c r="A1055" s="20" t="s">
        <v>112</v>
      </c>
      <c r="B1055" s="3" t="s">
        <v>306</v>
      </c>
      <c r="C1055" s="19" t="s">
        <v>30</v>
      </c>
      <c r="D1055" s="19" t="s">
        <v>16</v>
      </c>
      <c r="E1055" s="57" t="s">
        <v>812</v>
      </c>
      <c r="F1055" s="19" t="s">
        <v>107</v>
      </c>
      <c r="G1055" s="32">
        <v>269.10000000000002</v>
      </c>
    </row>
    <row r="1056" spans="1:7" x14ac:dyDescent="0.2">
      <c r="A1056" s="9" t="s">
        <v>115</v>
      </c>
      <c r="B1056" s="3" t="s">
        <v>306</v>
      </c>
      <c r="C1056" s="3" t="s">
        <v>30</v>
      </c>
      <c r="D1056" s="3" t="s">
        <v>16</v>
      </c>
      <c r="E1056" s="3" t="s">
        <v>122</v>
      </c>
      <c r="F1056" s="3"/>
      <c r="G1056" s="32">
        <f>G1057+G1059</f>
        <v>5544.6</v>
      </c>
    </row>
    <row r="1057" spans="1:7" x14ac:dyDescent="0.2">
      <c r="A1057" s="9" t="s">
        <v>674</v>
      </c>
      <c r="B1057" s="3" t="s">
        <v>306</v>
      </c>
      <c r="C1057" s="19" t="s">
        <v>30</v>
      </c>
      <c r="D1057" s="19" t="s">
        <v>16</v>
      </c>
      <c r="E1057" s="57" t="s">
        <v>675</v>
      </c>
      <c r="F1057" s="19"/>
      <c r="G1057" s="32">
        <f>G1058</f>
        <v>4000</v>
      </c>
    </row>
    <row r="1058" spans="1:7" ht="30" x14ac:dyDescent="0.2">
      <c r="A1058" s="20" t="s">
        <v>677</v>
      </c>
      <c r="B1058" s="3" t="s">
        <v>306</v>
      </c>
      <c r="C1058" s="19" t="s">
        <v>30</v>
      </c>
      <c r="D1058" s="19" t="s">
        <v>16</v>
      </c>
      <c r="E1058" s="57" t="s">
        <v>675</v>
      </c>
      <c r="F1058" s="19" t="s">
        <v>676</v>
      </c>
      <c r="G1058" s="32">
        <v>4000</v>
      </c>
    </row>
    <row r="1059" spans="1:7" ht="30" x14ac:dyDescent="0.2">
      <c r="A1059" s="45" t="s">
        <v>100</v>
      </c>
      <c r="B1059" s="3" t="s">
        <v>306</v>
      </c>
      <c r="C1059" s="3" t="s">
        <v>30</v>
      </c>
      <c r="D1059" s="3" t="s">
        <v>16</v>
      </c>
      <c r="E1059" s="3" t="s">
        <v>126</v>
      </c>
      <c r="F1059" s="3"/>
      <c r="G1059" s="32">
        <f>G1060</f>
        <v>1544.6</v>
      </c>
    </row>
    <row r="1060" spans="1:7" ht="45" x14ac:dyDescent="0.2">
      <c r="A1060" s="44" t="s">
        <v>679</v>
      </c>
      <c r="B1060" s="3" t="s">
        <v>306</v>
      </c>
      <c r="C1060" s="3" t="s">
        <v>30</v>
      </c>
      <c r="D1060" s="3" t="s">
        <v>16</v>
      </c>
      <c r="E1060" s="3" t="s">
        <v>678</v>
      </c>
      <c r="F1060" s="3"/>
      <c r="G1060" s="32">
        <f>G1062+G1061</f>
        <v>1544.6</v>
      </c>
    </row>
    <row r="1061" spans="1:7" ht="30" x14ac:dyDescent="0.2">
      <c r="A1061" s="44" t="s">
        <v>102</v>
      </c>
      <c r="B1061" s="3" t="s">
        <v>306</v>
      </c>
      <c r="C1061" s="3" t="s">
        <v>30</v>
      </c>
      <c r="D1061" s="3" t="s">
        <v>16</v>
      </c>
      <c r="E1061" s="3" t="s">
        <v>678</v>
      </c>
      <c r="F1061" s="3" t="s">
        <v>101</v>
      </c>
      <c r="G1061" s="32">
        <v>976.6</v>
      </c>
    </row>
    <row r="1062" spans="1:7" ht="30" x14ac:dyDescent="0.2">
      <c r="A1062" s="20" t="s">
        <v>677</v>
      </c>
      <c r="B1062" s="3" t="s">
        <v>306</v>
      </c>
      <c r="C1062" s="3" t="s">
        <v>30</v>
      </c>
      <c r="D1062" s="3" t="s">
        <v>16</v>
      </c>
      <c r="E1062" s="3" t="s">
        <v>678</v>
      </c>
      <c r="F1062" s="3" t="s">
        <v>676</v>
      </c>
      <c r="G1062" s="32">
        <v>568</v>
      </c>
    </row>
    <row r="1063" spans="1:7" x14ac:dyDescent="0.2">
      <c r="A1063" s="44" t="s">
        <v>468</v>
      </c>
      <c r="B1063" s="3" t="s">
        <v>306</v>
      </c>
      <c r="C1063" s="3" t="s">
        <v>30</v>
      </c>
      <c r="D1063" s="3" t="s">
        <v>15</v>
      </c>
      <c r="E1063" s="3"/>
      <c r="F1063" s="3"/>
      <c r="G1063" s="32">
        <f>G1064</f>
        <v>1500</v>
      </c>
    </row>
    <row r="1064" spans="1:7" x14ac:dyDescent="0.2">
      <c r="A1064" s="9" t="s">
        <v>115</v>
      </c>
      <c r="B1064" s="3" t="s">
        <v>306</v>
      </c>
      <c r="C1064" s="19" t="s">
        <v>30</v>
      </c>
      <c r="D1064" s="19" t="s">
        <v>15</v>
      </c>
      <c r="E1064" s="57" t="s">
        <v>122</v>
      </c>
      <c r="F1064" s="19"/>
      <c r="G1064" s="32">
        <f>G1065</f>
        <v>1500</v>
      </c>
    </row>
    <row r="1065" spans="1:7" ht="30" x14ac:dyDescent="0.2">
      <c r="A1065" s="45" t="s">
        <v>100</v>
      </c>
      <c r="B1065" s="3" t="s">
        <v>306</v>
      </c>
      <c r="C1065" s="3" t="s">
        <v>30</v>
      </c>
      <c r="D1065" s="3" t="s">
        <v>15</v>
      </c>
      <c r="E1065" s="3" t="s">
        <v>126</v>
      </c>
      <c r="F1065" s="3"/>
      <c r="G1065" s="32">
        <f>G1066</f>
        <v>1500</v>
      </c>
    </row>
    <row r="1066" spans="1:7" ht="45" x14ac:dyDescent="0.2">
      <c r="A1066" s="44" t="s">
        <v>679</v>
      </c>
      <c r="B1066" s="3" t="s">
        <v>306</v>
      </c>
      <c r="C1066" s="3" t="s">
        <v>30</v>
      </c>
      <c r="D1066" s="3" t="s">
        <v>15</v>
      </c>
      <c r="E1066" s="3" t="s">
        <v>678</v>
      </c>
      <c r="F1066" s="3"/>
      <c r="G1066" s="32">
        <f>G1067</f>
        <v>1500</v>
      </c>
    </row>
    <row r="1067" spans="1:7" ht="30" x14ac:dyDescent="0.2">
      <c r="A1067" s="44" t="s">
        <v>102</v>
      </c>
      <c r="B1067" s="3" t="s">
        <v>306</v>
      </c>
      <c r="C1067" s="3" t="s">
        <v>30</v>
      </c>
      <c r="D1067" s="3" t="s">
        <v>15</v>
      </c>
      <c r="E1067" s="3" t="s">
        <v>678</v>
      </c>
      <c r="F1067" s="3" t="s">
        <v>101</v>
      </c>
      <c r="G1067" s="32">
        <v>1500</v>
      </c>
    </row>
    <row r="1068" spans="1:7" x14ac:dyDescent="0.2">
      <c r="A1068" s="1" t="s">
        <v>273</v>
      </c>
      <c r="B1068" s="3" t="s">
        <v>306</v>
      </c>
      <c r="C1068" s="3" t="s">
        <v>30</v>
      </c>
      <c r="D1068" s="3" t="s">
        <v>30</v>
      </c>
      <c r="E1068" s="3"/>
      <c r="F1068" s="3"/>
      <c r="G1068" s="32">
        <f>G1069</f>
        <v>4036.9</v>
      </c>
    </row>
    <row r="1069" spans="1:7" x14ac:dyDescent="0.2">
      <c r="A1069" s="20" t="s">
        <v>115</v>
      </c>
      <c r="B1069" s="3" t="s">
        <v>306</v>
      </c>
      <c r="C1069" s="3" t="s">
        <v>30</v>
      </c>
      <c r="D1069" s="3" t="s">
        <v>30</v>
      </c>
      <c r="E1069" s="3" t="s">
        <v>122</v>
      </c>
      <c r="F1069" s="3"/>
      <c r="G1069" s="8">
        <f>G1070+G1072</f>
        <v>4036.9</v>
      </c>
    </row>
    <row r="1070" spans="1:7" x14ac:dyDescent="0.2">
      <c r="A1070" s="1" t="s">
        <v>674</v>
      </c>
      <c r="B1070" s="3" t="s">
        <v>306</v>
      </c>
      <c r="C1070" s="3" t="s">
        <v>30</v>
      </c>
      <c r="D1070" s="3" t="s">
        <v>30</v>
      </c>
      <c r="E1070" s="3" t="s">
        <v>675</v>
      </c>
      <c r="F1070" s="3"/>
      <c r="G1070" s="8">
        <f>G1071</f>
        <v>2797.5</v>
      </c>
    </row>
    <row r="1071" spans="1:7" ht="30" x14ac:dyDescent="0.2">
      <c r="A1071" s="44" t="s">
        <v>102</v>
      </c>
      <c r="B1071" s="3" t="s">
        <v>306</v>
      </c>
      <c r="C1071" s="3" t="s">
        <v>30</v>
      </c>
      <c r="D1071" s="3" t="s">
        <v>30</v>
      </c>
      <c r="E1071" s="3" t="s">
        <v>675</v>
      </c>
      <c r="F1071" s="3" t="s">
        <v>101</v>
      </c>
      <c r="G1071" s="8">
        <v>2797.5</v>
      </c>
    </row>
    <row r="1072" spans="1:7" ht="30" x14ac:dyDescent="0.2">
      <c r="A1072" s="45" t="s">
        <v>100</v>
      </c>
      <c r="B1072" s="3" t="s">
        <v>306</v>
      </c>
      <c r="C1072" s="3" t="s">
        <v>30</v>
      </c>
      <c r="D1072" s="3" t="s">
        <v>30</v>
      </c>
      <c r="E1072" s="3" t="s">
        <v>126</v>
      </c>
      <c r="F1072" s="3"/>
      <c r="G1072" s="8">
        <f>G1073</f>
        <v>1239.4000000000001</v>
      </c>
    </row>
    <row r="1073" spans="1:7" ht="36" customHeight="1" x14ac:dyDescent="0.2">
      <c r="A1073" s="44" t="s">
        <v>679</v>
      </c>
      <c r="B1073" s="3" t="s">
        <v>306</v>
      </c>
      <c r="C1073" s="3" t="s">
        <v>30</v>
      </c>
      <c r="D1073" s="3" t="s">
        <v>30</v>
      </c>
      <c r="E1073" s="3" t="s">
        <v>678</v>
      </c>
      <c r="F1073" s="3"/>
      <c r="G1073" s="8">
        <f>G1074</f>
        <v>1239.4000000000001</v>
      </c>
    </row>
    <row r="1074" spans="1:7" ht="30" x14ac:dyDescent="0.2">
      <c r="A1074" s="1" t="s">
        <v>677</v>
      </c>
      <c r="B1074" s="3" t="s">
        <v>306</v>
      </c>
      <c r="C1074" s="3" t="s">
        <v>30</v>
      </c>
      <c r="D1074" s="3" t="s">
        <v>30</v>
      </c>
      <c r="E1074" s="3" t="s">
        <v>678</v>
      </c>
      <c r="F1074" s="3" t="s">
        <v>676</v>
      </c>
      <c r="G1074" s="8">
        <v>1239.4000000000001</v>
      </c>
    </row>
    <row r="1075" spans="1:7" x14ac:dyDescent="0.2">
      <c r="A1075" s="9" t="s">
        <v>182</v>
      </c>
      <c r="B1075" s="3" t="s">
        <v>306</v>
      </c>
      <c r="C1075" s="3" t="s">
        <v>21</v>
      </c>
      <c r="D1075" s="3"/>
      <c r="E1075" s="3"/>
      <c r="F1075" s="3"/>
      <c r="G1075" s="8">
        <f>G1076</f>
        <v>41947.4</v>
      </c>
    </row>
    <row r="1076" spans="1:7" x14ac:dyDescent="0.2">
      <c r="A1076" s="1" t="s">
        <v>183</v>
      </c>
      <c r="B1076" s="3" t="s">
        <v>306</v>
      </c>
      <c r="C1076" s="3" t="s">
        <v>21</v>
      </c>
      <c r="D1076" s="3" t="s">
        <v>6</v>
      </c>
      <c r="E1076" s="3"/>
      <c r="F1076" s="3"/>
      <c r="G1076" s="8">
        <f>G1077+G1080</f>
        <v>41947.4</v>
      </c>
    </row>
    <row r="1077" spans="1:7" s="27" customFormat="1" x14ac:dyDescent="0.2">
      <c r="A1077" s="9" t="s">
        <v>115</v>
      </c>
      <c r="B1077" s="3" t="s">
        <v>306</v>
      </c>
      <c r="C1077" s="3" t="s">
        <v>21</v>
      </c>
      <c r="D1077" s="3" t="s">
        <v>6</v>
      </c>
      <c r="E1077" s="3" t="s">
        <v>122</v>
      </c>
      <c r="F1077" s="3"/>
      <c r="G1077" s="8">
        <f>G1078</f>
        <v>33336.9</v>
      </c>
    </row>
    <row r="1078" spans="1:7" ht="30" x14ac:dyDescent="0.2">
      <c r="A1078" s="44" t="s">
        <v>100</v>
      </c>
      <c r="B1078" s="3" t="s">
        <v>306</v>
      </c>
      <c r="C1078" s="3" t="s">
        <v>21</v>
      </c>
      <c r="D1078" s="3" t="s">
        <v>6</v>
      </c>
      <c r="E1078" s="19" t="s">
        <v>126</v>
      </c>
      <c r="F1078" s="3"/>
      <c r="G1078" s="32">
        <f>G1079</f>
        <v>33336.9</v>
      </c>
    </row>
    <row r="1079" spans="1:7" ht="30" x14ac:dyDescent="0.2">
      <c r="A1079" s="44" t="s">
        <v>102</v>
      </c>
      <c r="B1079" s="3" t="s">
        <v>306</v>
      </c>
      <c r="C1079" s="3" t="s">
        <v>21</v>
      </c>
      <c r="D1079" s="3" t="s">
        <v>6</v>
      </c>
      <c r="E1079" s="19" t="s">
        <v>678</v>
      </c>
      <c r="F1079" s="3" t="s">
        <v>101</v>
      </c>
      <c r="G1079" s="32">
        <f>32000+1336.9</f>
        <v>33336.9</v>
      </c>
    </row>
    <row r="1080" spans="1:7" ht="45" x14ac:dyDescent="0.2">
      <c r="A1080" s="20" t="s">
        <v>787</v>
      </c>
      <c r="B1080" s="3" t="s">
        <v>306</v>
      </c>
      <c r="C1080" s="3" t="s">
        <v>21</v>
      </c>
      <c r="D1080" s="3" t="s">
        <v>6</v>
      </c>
      <c r="E1080" s="19" t="s">
        <v>788</v>
      </c>
      <c r="F1080" s="3"/>
      <c r="G1080" s="32">
        <f>G1081</f>
        <v>8610.5</v>
      </c>
    </row>
    <row r="1081" spans="1:7" ht="45" x14ac:dyDescent="0.2">
      <c r="A1081" s="20" t="s">
        <v>685</v>
      </c>
      <c r="B1081" s="3" t="s">
        <v>306</v>
      </c>
      <c r="C1081" s="3" t="s">
        <v>21</v>
      </c>
      <c r="D1081" s="3" t="s">
        <v>6</v>
      </c>
      <c r="E1081" s="19" t="s">
        <v>789</v>
      </c>
      <c r="F1081" s="3"/>
      <c r="G1081" s="32">
        <f>G1082</f>
        <v>8610.5</v>
      </c>
    </row>
    <row r="1082" spans="1:7" ht="30" x14ac:dyDescent="0.2">
      <c r="A1082" s="20" t="s">
        <v>677</v>
      </c>
      <c r="B1082" s="3" t="s">
        <v>306</v>
      </c>
      <c r="C1082" s="3" t="s">
        <v>21</v>
      </c>
      <c r="D1082" s="3" t="s">
        <v>6</v>
      </c>
      <c r="E1082" s="19" t="s">
        <v>789</v>
      </c>
      <c r="F1082" s="3" t="s">
        <v>676</v>
      </c>
      <c r="G1082" s="32">
        <v>8610.5</v>
      </c>
    </row>
    <row r="1083" spans="1:7" x14ac:dyDescent="0.2">
      <c r="A1083" s="1" t="s">
        <v>28</v>
      </c>
      <c r="B1083" s="3" t="s">
        <v>306</v>
      </c>
      <c r="C1083" s="3" t="s">
        <v>47</v>
      </c>
      <c r="D1083" s="3"/>
      <c r="E1083" s="3"/>
      <c r="F1083" s="3"/>
      <c r="G1083" s="32">
        <f>G1084</f>
        <v>16470.7</v>
      </c>
    </row>
    <row r="1084" spans="1:7" x14ac:dyDescent="0.2">
      <c r="A1084" s="1" t="s">
        <v>53</v>
      </c>
      <c r="B1084" s="3" t="s">
        <v>306</v>
      </c>
      <c r="C1084" s="3" t="s">
        <v>47</v>
      </c>
      <c r="D1084" s="3" t="s">
        <v>6</v>
      </c>
      <c r="E1084" s="3"/>
      <c r="F1084" s="3"/>
      <c r="G1084" s="32">
        <f>G1089+G1085</f>
        <v>16470.7</v>
      </c>
    </row>
    <row r="1085" spans="1:7" ht="45" x14ac:dyDescent="0.2">
      <c r="A1085" s="1" t="s">
        <v>733</v>
      </c>
      <c r="B1085" s="3" t="s">
        <v>306</v>
      </c>
      <c r="C1085" s="3" t="s">
        <v>47</v>
      </c>
      <c r="D1085" s="3" t="s">
        <v>6</v>
      </c>
      <c r="E1085" s="3" t="s">
        <v>739</v>
      </c>
      <c r="F1085" s="3"/>
      <c r="G1085" s="32">
        <f>G1086</f>
        <v>10470.700000000001</v>
      </c>
    </row>
    <row r="1086" spans="1:7" ht="60" x14ac:dyDescent="0.2">
      <c r="A1086" s="1" t="s">
        <v>790</v>
      </c>
      <c r="B1086" s="3" t="s">
        <v>306</v>
      </c>
      <c r="C1086" s="3" t="s">
        <v>47</v>
      </c>
      <c r="D1086" s="3" t="s">
        <v>6</v>
      </c>
      <c r="E1086" s="3" t="s">
        <v>791</v>
      </c>
      <c r="F1086" s="3"/>
      <c r="G1086" s="32">
        <f>G1087</f>
        <v>10470.700000000001</v>
      </c>
    </row>
    <row r="1087" spans="1:7" ht="45" x14ac:dyDescent="0.2">
      <c r="A1087" s="1" t="s">
        <v>685</v>
      </c>
      <c r="B1087" s="3" t="s">
        <v>306</v>
      </c>
      <c r="C1087" s="3" t="s">
        <v>47</v>
      </c>
      <c r="D1087" s="3" t="s">
        <v>6</v>
      </c>
      <c r="E1087" s="3" t="s">
        <v>792</v>
      </c>
      <c r="F1087" s="3"/>
      <c r="G1087" s="32">
        <f>G1088</f>
        <v>10470.700000000001</v>
      </c>
    </row>
    <row r="1088" spans="1:7" ht="30" x14ac:dyDescent="0.2">
      <c r="A1088" s="20" t="s">
        <v>677</v>
      </c>
      <c r="B1088" s="3" t="s">
        <v>306</v>
      </c>
      <c r="C1088" s="3" t="s">
        <v>47</v>
      </c>
      <c r="D1088" s="3" t="s">
        <v>6</v>
      </c>
      <c r="E1088" s="3" t="s">
        <v>792</v>
      </c>
      <c r="F1088" s="3" t="s">
        <v>676</v>
      </c>
      <c r="G1088" s="32">
        <v>10470.700000000001</v>
      </c>
    </row>
    <row r="1089" spans="1:7" x14ac:dyDescent="0.2">
      <c r="A1089" s="9" t="s">
        <v>115</v>
      </c>
      <c r="B1089" s="3" t="s">
        <v>306</v>
      </c>
      <c r="C1089" s="3" t="s">
        <v>47</v>
      </c>
      <c r="D1089" s="3" t="s">
        <v>6</v>
      </c>
      <c r="E1089" s="57" t="s">
        <v>122</v>
      </c>
      <c r="F1089" s="19"/>
      <c r="G1089" s="32">
        <f>G1090</f>
        <v>6000</v>
      </c>
    </row>
    <row r="1090" spans="1:7" x14ac:dyDescent="0.2">
      <c r="A1090" s="9" t="s">
        <v>674</v>
      </c>
      <c r="B1090" s="3" t="s">
        <v>306</v>
      </c>
      <c r="C1090" s="3" t="s">
        <v>47</v>
      </c>
      <c r="D1090" s="3" t="s">
        <v>6</v>
      </c>
      <c r="E1090" s="57" t="s">
        <v>675</v>
      </c>
      <c r="F1090" s="19"/>
      <c r="G1090" s="32">
        <f>G1091</f>
        <v>6000</v>
      </c>
    </row>
    <row r="1091" spans="1:7" ht="30" x14ac:dyDescent="0.2">
      <c r="A1091" s="20" t="s">
        <v>677</v>
      </c>
      <c r="B1091" s="3" t="s">
        <v>306</v>
      </c>
      <c r="C1091" s="3" t="s">
        <v>47</v>
      </c>
      <c r="D1091" s="3" t="s">
        <v>6</v>
      </c>
      <c r="E1091" s="57" t="s">
        <v>675</v>
      </c>
      <c r="F1091" s="19" t="s">
        <v>676</v>
      </c>
      <c r="G1091" s="32">
        <v>6000</v>
      </c>
    </row>
    <row r="1092" spans="1:7" x14ac:dyDescent="0.2">
      <c r="A1092" s="44"/>
      <c r="B1092" s="19"/>
      <c r="C1092" s="19"/>
      <c r="D1092" s="55"/>
      <c r="E1092" s="55"/>
      <c r="F1092" s="19"/>
      <c r="G1092" s="15"/>
    </row>
    <row r="1093" spans="1:7" ht="42.75" x14ac:dyDescent="0.2">
      <c r="A1093" s="6" t="s">
        <v>470</v>
      </c>
      <c r="B1093" s="12" t="s">
        <v>471</v>
      </c>
      <c r="C1093" s="12"/>
      <c r="D1093" s="12"/>
      <c r="E1093" s="12"/>
      <c r="F1093" s="12"/>
      <c r="G1093" s="79">
        <f>G1094</f>
        <v>67530.299999999988</v>
      </c>
    </row>
    <row r="1094" spans="1:7" x14ac:dyDescent="0.2">
      <c r="A1094" s="1" t="s">
        <v>5</v>
      </c>
      <c r="B1094" s="3" t="s">
        <v>471</v>
      </c>
      <c r="C1094" s="3" t="s">
        <v>6</v>
      </c>
      <c r="D1094" s="3"/>
      <c r="E1094" s="3"/>
      <c r="F1094" s="3"/>
      <c r="G1094" s="15">
        <f>G1095</f>
        <v>67530.299999999988</v>
      </c>
    </row>
    <row r="1095" spans="1:7" x14ac:dyDescent="0.2">
      <c r="A1095" s="1" t="s">
        <v>42</v>
      </c>
      <c r="B1095" s="3" t="s">
        <v>471</v>
      </c>
      <c r="C1095" s="3" t="s">
        <v>6</v>
      </c>
      <c r="D1095" s="3" t="s">
        <v>50</v>
      </c>
      <c r="E1095" s="3"/>
      <c r="F1095" s="3"/>
      <c r="G1095" s="8">
        <f>G1096</f>
        <v>67530.299999999988</v>
      </c>
    </row>
    <row r="1096" spans="1:7" x14ac:dyDescent="0.2">
      <c r="A1096" s="20" t="s">
        <v>115</v>
      </c>
      <c r="B1096" s="3" t="s">
        <v>471</v>
      </c>
      <c r="C1096" s="3" t="s">
        <v>6</v>
      </c>
      <c r="D1096" s="3" t="s">
        <v>50</v>
      </c>
      <c r="E1096" s="55" t="s">
        <v>122</v>
      </c>
      <c r="F1096" s="19"/>
      <c r="G1096" s="47">
        <f>G1097+G1101+G1105</f>
        <v>67530.299999999988</v>
      </c>
    </row>
    <row r="1097" spans="1:7" x14ac:dyDescent="0.2">
      <c r="A1097" s="1" t="s">
        <v>472</v>
      </c>
      <c r="B1097" s="3" t="s">
        <v>471</v>
      </c>
      <c r="C1097" s="3" t="s">
        <v>6</v>
      </c>
      <c r="D1097" s="3" t="s">
        <v>50</v>
      </c>
      <c r="E1097" s="3" t="s">
        <v>473</v>
      </c>
      <c r="F1097" s="3"/>
      <c r="G1097" s="30">
        <f>SUM(G1098:G1100)</f>
        <v>53133.7</v>
      </c>
    </row>
    <row r="1098" spans="1:7" ht="60" x14ac:dyDescent="0.2">
      <c r="A1098" s="44" t="s">
        <v>108</v>
      </c>
      <c r="B1098" s="3" t="s">
        <v>471</v>
      </c>
      <c r="C1098" s="3" t="s">
        <v>6</v>
      </c>
      <c r="D1098" s="3" t="s">
        <v>50</v>
      </c>
      <c r="E1098" s="3" t="s">
        <v>473</v>
      </c>
      <c r="F1098" s="3" t="s">
        <v>103</v>
      </c>
      <c r="G1098" s="30">
        <v>25681.7</v>
      </c>
    </row>
    <row r="1099" spans="1:7" ht="30" x14ac:dyDescent="0.2">
      <c r="A1099" s="44" t="s">
        <v>102</v>
      </c>
      <c r="B1099" s="3" t="s">
        <v>471</v>
      </c>
      <c r="C1099" s="3" t="s">
        <v>6</v>
      </c>
      <c r="D1099" s="3" t="s">
        <v>50</v>
      </c>
      <c r="E1099" s="3" t="s">
        <v>473</v>
      </c>
      <c r="F1099" s="3" t="s">
        <v>101</v>
      </c>
      <c r="G1099" s="30">
        <v>25902</v>
      </c>
    </row>
    <row r="1100" spans="1:7" x14ac:dyDescent="0.2">
      <c r="A1100" s="44" t="s">
        <v>109</v>
      </c>
      <c r="B1100" s="3" t="s">
        <v>471</v>
      </c>
      <c r="C1100" s="3" t="s">
        <v>6</v>
      </c>
      <c r="D1100" s="3" t="s">
        <v>50</v>
      </c>
      <c r="E1100" s="3" t="s">
        <v>473</v>
      </c>
      <c r="F1100" s="3" t="s">
        <v>104</v>
      </c>
      <c r="G1100" s="30">
        <v>1550</v>
      </c>
    </row>
    <row r="1101" spans="1:7" ht="30" x14ac:dyDescent="0.2">
      <c r="A1101" s="44" t="s">
        <v>653</v>
      </c>
      <c r="B1101" s="3" t="s">
        <v>471</v>
      </c>
      <c r="C1101" s="3" t="s">
        <v>6</v>
      </c>
      <c r="D1101" s="3" t="s">
        <v>50</v>
      </c>
      <c r="E1101" s="3" t="s">
        <v>557</v>
      </c>
      <c r="F1101" s="3"/>
      <c r="G1101" s="30">
        <f>G1102+G1103+G1104</f>
        <v>10396.6</v>
      </c>
    </row>
    <row r="1102" spans="1:7" ht="60" x14ac:dyDescent="0.2">
      <c r="A1102" s="44" t="s">
        <v>108</v>
      </c>
      <c r="B1102" s="3" t="s">
        <v>471</v>
      </c>
      <c r="C1102" s="3" t="s">
        <v>6</v>
      </c>
      <c r="D1102" s="3" t="s">
        <v>50</v>
      </c>
      <c r="E1102" s="3" t="s">
        <v>557</v>
      </c>
      <c r="F1102" s="3" t="s">
        <v>103</v>
      </c>
      <c r="G1102" s="30">
        <f>2573.6+4137+2507</f>
        <v>9217.6</v>
      </c>
    </row>
    <row r="1103" spans="1:7" ht="30" x14ac:dyDescent="0.2">
      <c r="A1103" s="44" t="s">
        <v>102</v>
      </c>
      <c r="B1103" s="3" t="s">
        <v>471</v>
      </c>
      <c r="C1103" s="3" t="s">
        <v>6</v>
      </c>
      <c r="D1103" s="3" t="s">
        <v>50</v>
      </c>
      <c r="E1103" s="3" t="s">
        <v>557</v>
      </c>
      <c r="F1103" s="3" t="s">
        <v>101</v>
      </c>
      <c r="G1103" s="30">
        <v>1168.2</v>
      </c>
    </row>
    <row r="1104" spans="1:7" x14ac:dyDescent="0.2">
      <c r="A1104" s="44" t="s">
        <v>109</v>
      </c>
      <c r="B1104" s="3" t="s">
        <v>471</v>
      </c>
      <c r="C1104" s="3" t="s">
        <v>6</v>
      </c>
      <c r="D1104" s="3" t="s">
        <v>50</v>
      </c>
      <c r="E1104" s="3" t="s">
        <v>557</v>
      </c>
      <c r="F1104" s="3" t="s">
        <v>104</v>
      </c>
      <c r="G1104" s="30">
        <v>10.8</v>
      </c>
    </row>
    <row r="1105" spans="1:7" ht="30" x14ac:dyDescent="0.2">
      <c r="A1105" s="45" t="s">
        <v>100</v>
      </c>
      <c r="B1105" s="3" t="s">
        <v>471</v>
      </c>
      <c r="C1105" s="3" t="s">
        <v>6</v>
      </c>
      <c r="D1105" s="3" t="s">
        <v>50</v>
      </c>
      <c r="E1105" s="3" t="s">
        <v>126</v>
      </c>
      <c r="F1105" s="3"/>
      <c r="G1105" s="30">
        <f>G1106</f>
        <v>4000</v>
      </c>
    </row>
    <row r="1106" spans="1:7" x14ac:dyDescent="0.2">
      <c r="A1106" s="45" t="s">
        <v>533</v>
      </c>
      <c r="B1106" s="3" t="s">
        <v>471</v>
      </c>
      <c r="C1106" s="3" t="s">
        <v>6</v>
      </c>
      <c r="D1106" s="3" t="s">
        <v>50</v>
      </c>
      <c r="E1106" s="3" t="s">
        <v>532</v>
      </c>
      <c r="F1106" s="3"/>
      <c r="G1106" s="30">
        <f>SUM(G1107:G1108)</f>
        <v>4000</v>
      </c>
    </row>
    <row r="1107" spans="1:7" ht="30" x14ac:dyDescent="0.2">
      <c r="A1107" s="44" t="s">
        <v>102</v>
      </c>
      <c r="B1107" s="3" t="s">
        <v>471</v>
      </c>
      <c r="C1107" s="3" t="s">
        <v>6</v>
      </c>
      <c r="D1107" s="3" t="s">
        <v>50</v>
      </c>
      <c r="E1107" s="3" t="s">
        <v>532</v>
      </c>
      <c r="F1107" s="3" t="s">
        <v>101</v>
      </c>
      <c r="G1107" s="30">
        <v>200</v>
      </c>
    </row>
    <row r="1108" spans="1:7" x14ac:dyDescent="0.2">
      <c r="A1108" s="45" t="s">
        <v>111</v>
      </c>
      <c r="B1108" s="3" t="s">
        <v>471</v>
      </c>
      <c r="C1108" s="3" t="s">
        <v>6</v>
      </c>
      <c r="D1108" s="3" t="s">
        <v>50</v>
      </c>
      <c r="E1108" s="3" t="s">
        <v>532</v>
      </c>
      <c r="F1108" s="3" t="s">
        <v>105</v>
      </c>
      <c r="G1108" s="30">
        <v>3800</v>
      </c>
    </row>
    <row r="1109" spans="1:7" x14ac:dyDescent="0.2">
      <c r="A1109" s="44"/>
      <c r="B1109" s="3"/>
      <c r="C1109" s="3"/>
      <c r="D1109" s="3"/>
      <c r="E1109" s="3"/>
      <c r="F1109" s="3"/>
      <c r="G1109" s="30"/>
    </row>
    <row r="1110" spans="1:7" ht="42.75" x14ac:dyDescent="0.2">
      <c r="A1110" s="6" t="s">
        <v>86</v>
      </c>
      <c r="B1110" s="7" t="s">
        <v>307</v>
      </c>
      <c r="C1110" s="7"/>
      <c r="D1110" s="7"/>
      <c r="E1110" s="7"/>
      <c r="F1110" s="7"/>
      <c r="G1110" s="79">
        <f>G1111+G1128+G1143+G1172+G1192+G1185</f>
        <v>1053862.7</v>
      </c>
    </row>
    <row r="1111" spans="1:7" x14ac:dyDescent="0.2">
      <c r="A1111" s="1" t="s">
        <v>5</v>
      </c>
      <c r="B1111" s="3" t="s">
        <v>307</v>
      </c>
      <c r="C1111" s="3" t="s">
        <v>6</v>
      </c>
      <c r="D1111" s="3"/>
      <c r="E1111" s="3"/>
      <c r="F1111" s="3"/>
      <c r="G1111" s="8">
        <f>G1112+G1119</f>
        <v>35613.599999999999</v>
      </c>
    </row>
    <row r="1112" spans="1:7" ht="45" x14ac:dyDescent="0.2">
      <c r="A1112" s="9" t="s">
        <v>26</v>
      </c>
      <c r="B1112" s="3" t="s">
        <v>307</v>
      </c>
      <c r="C1112" s="10" t="s">
        <v>6</v>
      </c>
      <c r="D1112" s="10" t="s">
        <v>7</v>
      </c>
      <c r="E1112" s="11"/>
      <c r="F1112" s="10"/>
      <c r="G1112" s="31">
        <f>G1113</f>
        <v>34697.699999999997</v>
      </c>
    </row>
    <row r="1113" spans="1:7" ht="30" x14ac:dyDescent="0.2">
      <c r="A1113" s="1" t="s">
        <v>127</v>
      </c>
      <c r="B1113" s="3" t="s">
        <v>307</v>
      </c>
      <c r="C1113" s="10" t="s">
        <v>6</v>
      </c>
      <c r="D1113" s="10" t="s">
        <v>7</v>
      </c>
      <c r="E1113" s="3" t="s">
        <v>128</v>
      </c>
      <c r="F1113" s="19"/>
      <c r="G1113" s="47">
        <f>G1114</f>
        <v>34697.699999999997</v>
      </c>
    </row>
    <row r="1114" spans="1:7" ht="30" x14ac:dyDescent="0.2">
      <c r="A1114" s="44" t="s">
        <v>406</v>
      </c>
      <c r="B1114" s="3" t="s">
        <v>307</v>
      </c>
      <c r="C1114" s="19" t="s">
        <v>6</v>
      </c>
      <c r="D1114" s="19" t="s">
        <v>7</v>
      </c>
      <c r="E1114" s="3" t="s">
        <v>409</v>
      </c>
      <c r="F1114" s="19"/>
      <c r="G1114" s="47">
        <f>G1115</f>
        <v>34697.699999999997</v>
      </c>
    </row>
    <row r="1115" spans="1:7" x14ac:dyDescent="0.2">
      <c r="A1115" s="44" t="s">
        <v>8</v>
      </c>
      <c r="B1115" s="3" t="s">
        <v>307</v>
      </c>
      <c r="C1115" s="19" t="s">
        <v>6</v>
      </c>
      <c r="D1115" s="19" t="s">
        <v>7</v>
      </c>
      <c r="E1115" s="3" t="s">
        <v>410</v>
      </c>
      <c r="F1115" s="19"/>
      <c r="G1115" s="47">
        <f>SUM(G1116:G1118)</f>
        <v>34697.699999999997</v>
      </c>
    </row>
    <row r="1116" spans="1:7" ht="60" x14ac:dyDescent="0.2">
      <c r="A1116" s="44" t="s">
        <v>108</v>
      </c>
      <c r="B1116" s="3" t="s">
        <v>307</v>
      </c>
      <c r="C1116" s="19" t="s">
        <v>6</v>
      </c>
      <c r="D1116" s="19" t="s">
        <v>7</v>
      </c>
      <c r="E1116" s="3" t="s">
        <v>410</v>
      </c>
      <c r="F1116" s="19" t="s">
        <v>103</v>
      </c>
      <c r="G1116" s="47">
        <f>22923.3+2365.8+3798.6+2444.6</f>
        <v>31532.299999999996</v>
      </c>
    </row>
    <row r="1117" spans="1:7" ht="30" x14ac:dyDescent="0.2">
      <c r="A1117" s="44" t="s">
        <v>102</v>
      </c>
      <c r="B1117" s="3" t="s">
        <v>307</v>
      </c>
      <c r="C1117" s="19" t="s">
        <v>6</v>
      </c>
      <c r="D1117" s="19" t="s">
        <v>7</v>
      </c>
      <c r="E1117" s="3" t="s">
        <v>410</v>
      </c>
      <c r="F1117" s="19" t="s">
        <v>101</v>
      </c>
      <c r="G1117" s="47">
        <f>3132+29.4</f>
        <v>3161.4</v>
      </c>
    </row>
    <row r="1118" spans="1:7" x14ac:dyDescent="0.2">
      <c r="A1118" s="44" t="s">
        <v>109</v>
      </c>
      <c r="B1118" s="3" t="s">
        <v>307</v>
      </c>
      <c r="C1118" s="19" t="s">
        <v>6</v>
      </c>
      <c r="D1118" s="19" t="s">
        <v>7</v>
      </c>
      <c r="E1118" s="3" t="s">
        <v>410</v>
      </c>
      <c r="F1118" s="19" t="s">
        <v>104</v>
      </c>
      <c r="G1118" s="47">
        <v>4</v>
      </c>
    </row>
    <row r="1119" spans="1:7" x14ac:dyDescent="0.2">
      <c r="A1119" s="1" t="s">
        <v>42</v>
      </c>
      <c r="B1119" s="3" t="s">
        <v>307</v>
      </c>
      <c r="C1119" s="3" t="s">
        <v>6</v>
      </c>
      <c r="D1119" s="3" t="s">
        <v>50</v>
      </c>
      <c r="E1119" s="3"/>
      <c r="F1119" s="3"/>
      <c r="G1119" s="8">
        <f>G1124+G1120</f>
        <v>915.9</v>
      </c>
    </row>
    <row r="1120" spans="1:7" x14ac:dyDescent="0.2">
      <c r="A1120" s="20" t="s">
        <v>115</v>
      </c>
      <c r="B1120" s="3" t="s">
        <v>307</v>
      </c>
      <c r="C1120" s="3" t="s">
        <v>6</v>
      </c>
      <c r="D1120" s="3" t="s">
        <v>50</v>
      </c>
      <c r="E1120" s="55" t="s">
        <v>122</v>
      </c>
      <c r="F1120" s="3"/>
      <c r="G1120" s="8">
        <f>G1121</f>
        <v>600</v>
      </c>
    </row>
    <row r="1121" spans="1:7" ht="30" x14ac:dyDescent="0.2">
      <c r="A1121" s="45" t="s">
        <v>100</v>
      </c>
      <c r="B1121" s="3" t="s">
        <v>307</v>
      </c>
      <c r="C1121" s="3" t="s">
        <v>6</v>
      </c>
      <c r="D1121" s="3" t="s">
        <v>50</v>
      </c>
      <c r="E1121" s="19" t="s">
        <v>126</v>
      </c>
      <c r="F1121" s="3"/>
      <c r="G1121" s="8">
        <f>G1122</f>
        <v>600</v>
      </c>
    </row>
    <row r="1122" spans="1:7" ht="45" x14ac:dyDescent="0.2">
      <c r="A1122" s="44" t="s">
        <v>751</v>
      </c>
      <c r="B1122" s="3" t="s">
        <v>307</v>
      </c>
      <c r="C1122" s="3" t="s">
        <v>6</v>
      </c>
      <c r="D1122" s="3" t="s">
        <v>50</v>
      </c>
      <c r="E1122" s="19" t="s">
        <v>752</v>
      </c>
      <c r="F1122" s="19"/>
      <c r="G1122" s="47">
        <f>G1123</f>
        <v>600</v>
      </c>
    </row>
    <row r="1123" spans="1:7" ht="30" x14ac:dyDescent="0.2">
      <c r="A1123" s="44" t="s">
        <v>102</v>
      </c>
      <c r="B1123" s="3" t="s">
        <v>307</v>
      </c>
      <c r="C1123" s="3" t="s">
        <v>6</v>
      </c>
      <c r="D1123" s="3" t="s">
        <v>50</v>
      </c>
      <c r="E1123" s="19" t="s">
        <v>752</v>
      </c>
      <c r="F1123" s="19" t="s">
        <v>101</v>
      </c>
      <c r="G1123" s="47">
        <v>600</v>
      </c>
    </row>
    <row r="1124" spans="1:7" ht="30" x14ac:dyDescent="0.2">
      <c r="A1124" s="1" t="s">
        <v>127</v>
      </c>
      <c r="B1124" s="3" t="s">
        <v>307</v>
      </c>
      <c r="C1124" s="3" t="s">
        <v>6</v>
      </c>
      <c r="D1124" s="3" t="s">
        <v>50</v>
      </c>
      <c r="E1124" s="3" t="s">
        <v>128</v>
      </c>
      <c r="F1124" s="19"/>
      <c r="G1124" s="47">
        <f>G1125</f>
        <v>315.89999999999998</v>
      </c>
    </row>
    <row r="1125" spans="1:7" ht="30" x14ac:dyDescent="0.2">
      <c r="A1125" s="44" t="s">
        <v>406</v>
      </c>
      <c r="B1125" s="3" t="s">
        <v>307</v>
      </c>
      <c r="C1125" s="3" t="s">
        <v>6</v>
      </c>
      <c r="D1125" s="3" t="s">
        <v>50</v>
      </c>
      <c r="E1125" s="3" t="s">
        <v>409</v>
      </c>
      <c r="F1125" s="19"/>
      <c r="G1125" s="47">
        <f>G1126</f>
        <v>315.89999999999998</v>
      </c>
    </row>
    <row r="1126" spans="1:7" x14ac:dyDescent="0.2">
      <c r="A1126" s="44" t="s">
        <v>94</v>
      </c>
      <c r="B1126" s="3" t="s">
        <v>307</v>
      </c>
      <c r="C1126" s="3" t="s">
        <v>6</v>
      </c>
      <c r="D1126" s="3" t="s">
        <v>50</v>
      </c>
      <c r="E1126" s="3" t="s">
        <v>420</v>
      </c>
      <c r="F1126" s="19"/>
      <c r="G1126" s="47">
        <f>G1127</f>
        <v>315.89999999999998</v>
      </c>
    </row>
    <row r="1127" spans="1:7" x14ac:dyDescent="0.2">
      <c r="A1127" s="44" t="s">
        <v>109</v>
      </c>
      <c r="B1127" s="3" t="s">
        <v>307</v>
      </c>
      <c r="C1127" s="3" t="s">
        <v>6</v>
      </c>
      <c r="D1127" s="3" t="s">
        <v>50</v>
      </c>
      <c r="E1127" s="3" t="s">
        <v>420</v>
      </c>
      <c r="F1127" s="19" t="s">
        <v>104</v>
      </c>
      <c r="G1127" s="47">
        <v>315.89999999999998</v>
      </c>
    </row>
    <row r="1128" spans="1:7" x14ac:dyDescent="0.2">
      <c r="A1128" s="1" t="s">
        <v>19</v>
      </c>
      <c r="B1128" s="3" t="s">
        <v>307</v>
      </c>
      <c r="C1128" s="3" t="s">
        <v>7</v>
      </c>
      <c r="D1128" s="3"/>
      <c r="E1128" s="3"/>
      <c r="F1128" s="3"/>
      <c r="G1128" s="32">
        <f>G1129</f>
        <v>210418.8</v>
      </c>
    </row>
    <row r="1129" spans="1:7" x14ac:dyDescent="0.2">
      <c r="A1129" s="1" t="s">
        <v>121</v>
      </c>
      <c r="B1129" s="3" t="s">
        <v>307</v>
      </c>
      <c r="C1129" s="3" t="s">
        <v>7</v>
      </c>
      <c r="D1129" s="3" t="s">
        <v>17</v>
      </c>
      <c r="E1129" s="3"/>
      <c r="F1129" s="3"/>
      <c r="G1129" s="31">
        <f>G1130+G1140</f>
        <v>210418.8</v>
      </c>
    </row>
    <row r="1130" spans="1:7" ht="30" x14ac:dyDescent="0.2">
      <c r="A1130" s="1" t="s">
        <v>127</v>
      </c>
      <c r="B1130" s="3" t="s">
        <v>307</v>
      </c>
      <c r="C1130" s="10" t="s">
        <v>7</v>
      </c>
      <c r="D1130" s="10" t="s">
        <v>17</v>
      </c>
      <c r="E1130" s="3" t="s">
        <v>128</v>
      </c>
      <c r="F1130" s="3"/>
      <c r="G1130" s="31">
        <f>G1134+G1137+G1131</f>
        <v>139428.5</v>
      </c>
    </row>
    <row r="1131" spans="1:7" x14ac:dyDescent="0.2">
      <c r="A1131" s="44" t="s">
        <v>689</v>
      </c>
      <c r="B1131" s="3" t="s">
        <v>307</v>
      </c>
      <c r="C1131" s="19" t="s">
        <v>7</v>
      </c>
      <c r="D1131" s="19" t="s">
        <v>17</v>
      </c>
      <c r="E1131" s="3" t="s">
        <v>690</v>
      </c>
      <c r="F1131" s="19"/>
      <c r="G1131" s="28">
        <f>G1132</f>
        <v>3089</v>
      </c>
    </row>
    <row r="1132" spans="1:7" x14ac:dyDescent="0.2">
      <c r="A1132" s="44" t="s">
        <v>691</v>
      </c>
      <c r="B1132" s="3" t="s">
        <v>307</v>
      </c>
      <c r="C1132" s="19" t="s">
        <v>7</v>
      </c>
      <c r="D1132" s="19" t="s">
        <v>17</v>
      </c>
      <c r="E1132" s="3" t="s">
        <v>692</v>
      </c>
      <c r="F1132" s="19"/>
      <c r="G1132" s="28">
        <f>G1133</f>
        <v>3089</v>
      </c>
    </row>
    <row r="1133" spans="1:7" ht="30" x14ac:dyDescent="0.2">
      <c r="A1133" s="1" t="s">
        <v>677</v>
      </c>
      <c r="B1133" s="3" t="s">
        <v>307</v>
      </c>
      <c r="C1133" s="19" t="s">
        <v>7</v>
      </c>
      <c r="D1133" s="19" t="s">
        <v>17</v>
      </c>
      <c r="E1133" s="3" t="s">
        <v>692</v>
      </c>
      <c r="F1133" s="19" t="s">
        <v>676</v>
      </c>
      <c r="G1133" s="28">
        <f>2189+900</f>
        <v>3089</v>
      </c>
    </row>
    <row r="1134" spans="1:7" ht="30" x14ac:dyDescent="0.2">
      <c r="A1134" s="1" t="s">
        <v>695</v>
      </c>
      <c r="B1134" s="3" t="s">
        <v>307</v>
      </c>
      <c r="C1134" s="10" t="s">
        <v>7</v>
      </c>
      <c r="D1134" s="10" t="s">
        <v>17</v>
      </c>
      <c r="E1134" s="3" t="s">
        <v>696</v>
      </c>
      <c r="F1134" s="3"/>
      <c r="G1134" s="31">
        <f>G1135</f>
        <v>12773.3</v>
      </c>
    </row>
    <row r="1135" spans="1:7" x14ac:dyDescent="0.2">
      <c r="A1135" s="1" t="s">
        <v>694</v>
      </c>
      <c r="B1135" s="3" t="s">
        <v>307</v>
      </c>
      <c r="C1135" s="10" t="s">
        <v>7</v>
      </c>
      <c r="D1135" s="10" t="s">
        <v>17</v>
      </c>
      <c r="E1135" s="3" t="s">
        <v>693</v>
      </c>
      <c r="F1135" s="3"/>
      <c r="G1135" s="31">
        <f>G1136</f>
        <v>12773.3</v>
      </c>
    </row>
    <row r="1136" spans="1:7" ht="30" x14ac:dyDescent="0.2">
      <c r="A1136" s="44" t="s">
        <v>102</v>
      </c>
      <c r="B1136" s="3" t="s">
        <v>307</v>
      </c>
      <c r="C1136" s="10" t="s">
        <v>7</v>
      </c>
      <c r="D1136" s="10" t="s">
        <v>17</v>
      </c>
      <c r="E1136" s="3" t="s">
        <v>693</v>
      </c>
      <c r="F1136" s="3" t="s">
        <v>101</v>
      </c>
      <c r="G1136" s="31">
        <f>2906.9+36.4+8478+1352</f>
        <v>12773.3</v>
      </c>
    </row>
    <row r="1137" spans="1:7" ht="30" x14ac:dyDescent="0.2">
      <c r="A1137" s="44" t="s">
        <v>325</v>
      </c>
      <c r="B1137" s="3" t="s">
        <v>307</v>
      </c>
      <c r="C1137" s="19" t="s">
        <v>7</v>
      </c>
      <c r="D1137" s="19" t="s">
        <v>17</v>
      </c>
      <c r="E1137" s="3" t="s">
        <v>129</v>
      </c>
      <c r="F1137" s="19"/>
      <c r="G1137" s="47">
        <f>G1138</f>
        <v>123566.2</v>
      </c>
    </row>
    <row r="1138" spans="1:7" ht="45" x14ac:dyDescent="0.2">
      <c r="A1138" s="44" t="s">
        <v>423</v>
      </c>
      <c r="B1138" s="3" t="s">
        <v>307</v>
      </c>
      <c r="C1138" s="19" t="s">
        <v>7</v>
      </c>
      <c r="D1138" s="19" t="s">
        <v>17</v>
      </c>
      <c r="E1138" s="3" t="s">
        <v>326</v>
      </c>
      <c r="F1138" s="19"/>
      <c r="G1138" s="28">
        <f>G1139</f>
        <v>123566.2</v>
      </c>
    </row>
    <row r="1139" spans="1:7" ht="30" x14ac:dyDescent="0.2">
      <c r="A1139" s="44" t="s">
        <v>102</v>
      </c>
      <c r="B1139" s="3" t="s">
        <v>307</v>
      </c>
      <c r="C1139" s="19" t="s">
        <v>7</v>
      </c>
      <c r="D1139" s="19" t="s">
        <v>17</v>
      </c>
      <c r="E1139" s="3" t="s">
        <v>326</v>
      </c>
      <c r="F1139" s="19" t="s">
        <v>101</v>
      </c>
      <c r="G1139" s="28">
        <f>94141.9+2072.5+9420.2+450+281.6+15000+2200</f>
        <v>123566.2</v>
      </c>
    </row>
    <row r="1140" spans="1:7" ht="30" x14ac:dyDescent="0.2">
      <c r="A1140" s="1" t="s">
        <v>477</v>
      </c>
      <c r="B1140" s="3" t="s">
        <v>307</v>
      </c>
      <c r="C1140" s="10" t="s">
        <v>7</v>
      </c>
      <c r="D1140" s="10" t="s">
        <v>17</v>
      </c>
      <c r="E1140" s="3" t="s">
        <v>478</v>
      </c>
      <c r="F1140" s="3"/>
      <c r="G1140" s="28">
        <f>G1141</f>
        <v>70990.3</v>
      </c>
    </row>
    <row r="1141" spans="1:7" ht="30" x14ac:dyDescent="0.2">
      <c r="A1141" s="44" t="s">
        <v>479</v>
      </c>
      <c r="B1141" s="3" t="s">
        <v>307</v>
      </c>
      <c r="C1141" s="19" t="s">
        <v>7</v>
      </c>
      <c r="D1141" s="19" t="s">
        <v>17</v>
      </c>
      <c r="E1141" s="19" t="s">
        <v>480</v>
      </c>
      <c r="F1141" s="19"/>
      <c r="G1141" s="28">
        <f>G1142</f>
        <v>70990.3</v>
      </c>
    </row>
    <row r="1142" spans="1:7" ht="30" x14ac:dyDescent="0.2">
      <c r="A1142" s="44" t="s">
        <v>102</v>
      </c>
      <c r="B1142" s="3" t="s">
        <v>307</v>
      </c>
      <c r="C1142" s="19" t="s">
        <v>7</v>
      </c>
      <c r="D1142" s="19" t="s">
        <v>17</v>
      </c>
      <c r="E1142" s="19" t="s">
        <v>480</v>
      </c>
      <c r="F1142" s="19" t="s">
        <v>101</v>
      </c>
      <c r="G1142" s="28">
        <f>65700+5290.3</f>
        <v>70990.3</v>
      </c>
    </row>
    <row r="1143" spans="1:7" x14ac:dyDescent="0.2">
      <c r="A1143" s="1" t="s">
        <v>22</v>
      </c>
      <c r="B1143" s="3" t="s">
        <v>307</v>
      </c>
      <c r="C1143" s="3" t="s">
        <v>9</v>
      </c>
      <c r="D1143" s="3"/>
      <c r="E1143" s="3"/>
      <c r="F1143" s="3"/>
      <c r="G1143" s="32">
        <f>G1144+G1147</f>
        <v>778123.99999999988</v>
      </c>
    </row>
    <row r="1144" spans="1:7" x14ac:dyDescent="0.2">
      <c r="A1144" s="9" t="s">
        <v>115</v>
      </c>
      <c r="B1144" s="3" t="s">
        <v>307</v>
      </c>
      <c r="C1144" s="3" t="s">
        <v>9</v>
      </c>
      <c r="D1144" s="3" t="s">
        <v>6</v>
      </c>
      <c r="E1144" s="3" t="s">
        <v>122</v>
      </c>
      <c r="F1144" s="3"/>
      <c r="G1144" s="32">
        <f>G1145</f>
        <v>5058.2</v>
      </c>
    </row>
    <row r="1145" spans="1:7" ht="36" customHeight="1" x14ac:dyDescent="0.2">
      <c r="A1145" s="20" t="s">
        <v>698</v>
      </c>
      <c r="B1145" s="3" t="s">
        <v>307</v>
      </c>
      <c r="C1145" s="3" t="s">
        <v>9</v>
      </c>
      <c r="D1145" s="3" t="s">
        <v>6</v>
      </c>
      <c r="E1145" s="3" t="s">
        <v>699</v>
      </c>
      <c r="F1145" s="3"/>
      <c r="G1145" s="32">
        <f>G1146</f>
        <v>5058.2</v>
      </c>
    </row>
    <row r="1146" spans="1:7" ht="30" x14ac:dyDescent="0.2">
      <c r="A1146" s="44" t="s">
        <v>102</v>
      </c>
      <c r="B1146" s="3" t="s">
        <v>307</v>
      </c>
      <c r="C1146" s="3" t="s">
        <v>9</v>
      </c>
      <c r="D1146" s="3" t="s">
        <v>6</v>
      </c>
      <c r="E1146" s="3" t="s">
        <v>699</v>
      </c>
      <c r="F1146" s="3" t="s">
        <v>101</v>
      </c>
      <c r="G1146" s="32">
        <v>5058.2</v>
      </c>
    </row>
    <row r="1147" spans="1:7" x14ac:dyDescent="0.2">
      <c r="A1147" s="9" t="s">
        <v>43</v>
      </c>
      <c r="B1147" s="3" t="s">
        <v>307</v>
      </c>
      <c r="C1147" s="10" t="s">
        <v>9</v>
      </c>
      <c r="D1147" s="10" t="s">
        <v>15</v>
      </c>
      <c r="E1147" s="3"/>
      <c r="F1147" s="10"/>
      <c r="G1147" s="32">
        <f>G1154+G1148</f>
        <v>773065.79999999993</v>
      </c>
    </row>
    <row r="1148" spans="1:7" x14ac:dyDescent="0.2">
      <c r="A1148" s="20" t="s">
        <v>115</v>
      </c>
      <c r="B1148" s="3" t="s">
        <v>307</v>
      </c>
      <c r="C1148" s="19" t="s">
        <v>9</v>
      </c>
      <c r="D1148" s="19" t="s">
        <v>15</v>
      </c>
      <c r="E1148" s="19" t="s">
        <v>122</v>
      </c>
      <c r="F1148" s="10"/>
      <c r="G1148" s="32">
        <f>G1149+G1151</f>
        <v>63240</v>
      </c>
    </row>
    <row r="1149" spans="1:7" ht="30" x14ac:dyDescent="0.2">
      <c r="A1149" s="20" t="s">
        <v>793</v>
      </c>
      <c r="B1149" s="3" t="s">
        <v>307</v>
      </c>
      <c r="C1149" s="19" t="s">
        <v>9</v>
      </c>
      <c r="D1149" s="19" t="s">
        <v>15</v>
      </c>
      <c r="E1149" s="19" t="s">
        <v>794</v>
      </c>
      <c r="F1149" s="23"/>
      <c r="G1149" s="28">
        <f>G1150</f>
        <v>57708</v>
      </c>
    </row>
    <row r="1150" spans="1:7" ht="30" x14ac:dyDescent="0.2">
      <c r="A1150" s="20" t="s">
        <v>102</v>
      </c>
      <c r="B1150" s="3" t="s">
        <v>307</v>
      </c>
      <c r="C1150" s="19" t="s">
        <v>9</v>
      </c>
      <c r="D1150" s="19" t="s">
        <v>15</v>
      </c>
      <c r="E1150" s="19" t="s">
        <v>794</v>
      </c>
      <c r="F1150" s="23" t="s">
        <v>101</v>
      </c>
      <c r="G1150" s="28">
        <v>57708</v>
      </c>
    </row>
    <row r="1151" spans="1:7" x14ac:dyDescent="0.2">
      <c r="A1151" s="44" t="s">
        <v>42</v>
      </c>
      <c r="B1151" s="3" t="s">
        <v>307</v>
      </c>
      <c r="C1151" s="19" t="s">
        <v>9</v>
      </c>
      <c r="D1151" s="19" t="s">
        <v>15</v>
      </c>
      <c r="E1151" s="19" t="s">
        <v>126</v>
      </c>
      <c r="F1151" s="23"/>
      <c r="G1151" s="28">
        <f>G1152</f>
        <v>5532</v>
      </c>
    </row>
    <row r="1152" spans="1:7" ht="45" x14ac:dyDescent="0.2">
      <c r="A1152" s="20" t="s">
        <v>751</v>
      </c>
      <c r="B1152" s="3" t="s">
        <v>307</v>
      </c>
      <c r="C1152" s="19" t="s">
        <v>9</v>
      </c>
      <c r="D1152" s="19" t="s">
        <v>15</v>
      </c>
      <c r="E1152" s="3" t="s">
        <v>752</v>
      </c>
      <c r="F1152" s="3"/>
      <c r="G1152" s="28">
        <f>G1153</f>
        <v>5532</v>
      </c>
    </row>
    <row r="1153" spans="1:7" ht="30" x14ac:dyDescent="0.2">
      <c r="A1153" s="20" t="s">
        <v>102</v>
      </c>
      <c r="B1153" s="3" t="s">
        <v>307</v>
      </c>
      <c r="C1153" s="19" t="s">
        <v>9</v>
      </c>
      <c r="D1153" s="19" t="s">
        <v>15</v>
      </c>
      <c r="E1153" s="3" t="s">
        <v>752</v>
      </c>
      <c r="F1153" s="3" t="s">
        <v>101</v>
      </c>
      <c r="G1153" s="28">
        <v>5532</v>
      </c>
    </row>
    <row r="1154" spans="1:7" ht="30" x14ac:dyDescent="0.2">
      <c r="A1154" s="1" t="s">
        <v>127</v>
      </c>
      <c r="B1154" s="3" t="s">
        <v>307</v>
      </c>
      <c r="C1154" s="10" t="s">
        <v>9</v>
      </c>
      <c r="D1154" s="10" t="s">
        <v>15</v>
      </c>
      <c r="E1154" s="3" t="s">
        <v>128</v>
      </c>
      <c r="F1154" s="7"/>
      <c r="G1154" s="32">
        <f>G1163+G1160+G1155</f>
        <v>709825.79999999993</v>
      </c>
    </row>
    <row r="1155" spans="1:7" x14ac:dyDescent="0.2">
      <c r="A1155" s="1" t="s">
        <v>689</v>
      </c>
      <c r="B1155" s="3" t="s">
        <v>307</v>
      </c>
      <c r="C1155" s="10" t="s">
        <v>9</v>
      </c>
      <c r="D1155" s="10" t="s">
        <v>15</v>
      </c>
      <c r="E1155" s="3" t="s">
        <v>690</v>
      </c>
      <c r="F1155" s="7"/>
      <c r="G1155" s="32">
        <f>G1158+G1156</f>
        <v>2917.6</v>
      </c>
    </row>
    <row r="1156" spans="1:7" x14ac:dyDescent="0.2">
      <c r="A1156" s="1" t="s">
        <v>411</v>
      </c>
      <c r="B1156" s="3" t="s">
        <v>307</v>
      </c>
      <c r="C1156" s="10" t="s">
        <v>9</v>
      </c>
      <c r="D1156" s="10" t="s">
        <v>15</v>
      </c>
      <c r="E1156" s="3" t="s">
        <v>820</v>
      </c>
      <c r="F1156" s="7"/>
      <c r="G1156" s="32">
        <f>G1157</f>
        <v>1067.3</v>
      </c>
    </row>
    <row r="1157" spans="1:7" ht="30" x14ac:dyDescent="0.2">
      <c r="A1157" s="20" t="s">
        <v>677</v>
      </c>
      <c r="B1157" s="3" t="s">
        <v>307</v>
      </c>
      <c r="C1157" s="10" t="s">
        <v>9</v>
      </c>
      <c r="D1157" s="10" t="s">
        <v>15</v>
      </c>
      <c r="E1157" s="3" t="s">
        <v>820</v>
      </c>
      <c r="F1157" s="10" t="s">
        <v>676</v>
      </c>
      <c r="G1157" s="32">
        <v>1067.3</v>
      </c>
    </row>
    <row r="1158" spans="1:7" ht="30" x14ac:dyDescent="0.2">
      <c r="A1158" s="1" t="s">
        <v>329</v>
      </c>
      <c r="B1158" s="3" t="s">
        <v>307</v>
      </c>
      <c r="C1158" s="10" t="s">
        <v>9</v>
      </c>
      <c r="D1158" s="10" t="s">
        <v>15</v>
      </c>
      <c r="E1158" s="3" t="s">
        <v>795</v>
      </c>
      <c r="F1158" s="7"/>
      <c r="G1158" s="32">
        <f>G1159</f>
        <v>1850.3</v>
      </c>
    </row>
    <row r="1159" spans="1:7" ht="30" x14ac:dyDescent="0.2">
      <c r="A1159" s="44" t="s">
        <v>102</v>
      </c>
      <c r="B1159" s="3" t="s">
        <v>307</v>
      </c>
      <c r="C1159" s="10" t="s">
        <v>9</v>
      </c>
      <c r="D1159" s="10" t="s">
        <v>15</v>
      </c>
      <c r="E1159" s="3" t="s">
        <v>795</v>
      </c>
      <c r="F1159" s="10" t="s">
        <v>101</v>
      </c>
      <c r="G1159" s="32">
        <v>1850.3</v>
      </c>
    </row>
    <row r="1160" spans="1:7" ht="30" x14ac:dyDescent="0.2">
      <c r="A1160" s="44" t="s">
        <v>695</v>
      </c>
      <c r="B1160" s="3" t="s">
        <v>307</v>
      </c>
      <c r="C1160" s="10" t="s">
        <v>9</v>
      </c>
      <c r="D1160" s="10" t="s">
        <v>15</v>
      </c>
      <c r="E1160" s="3" t="s">
        <v>818</v>
      </c>
      <c r="F1160" s="10"/>
      <c r="G1160" s="32">
        <f>G1161</f>
        <v>3026</v>
      </c>
    </row>
    <row r="1161" spans="1:7" ht="30" x14ac:dyDescent="0.2">
      <c r="A1161" s="44" t="s">
        <v>329</v>
      </c>
      <c r="B1161" s="3" t="s">
        <v>307</v>
      </c>
      <c r="C1161" s="10" t="s">
        <v>9</v>
      </c>
      <c r="D1161" s="10" t="s">
        <v>15</v>
      </c>
      <c r="E1161" s="3" t="s">
        <v>819</v>
      </c>
      <c r="F1161" s="10"/>
      <c r="G1161" s="32">
        <f>G1162</f>
        <v>3026</v>
      </c>
    </row>
    <row r="1162" spans="1:7" ht="30" x14ac:dyDescent="0.2">
      <c r="A1162" s="44" t="s">
        <v>102</v>
      </c>
      <c r="B1162" s="3" t="s">
        <v>307</v>
      </c>
      <c r="C1162" s="10" t="s">
        <v>9</v>
      </c>
      <c r="D1162" s="10" t="s">
        <v>15</v>
      </c>
      <c r="E1162" s="3" t="s">
        <v>819</v>
      </c>
      <c r="F1162" s="10" t="s">
        <v>101</v>
      </c>
      <c r="G1162" s="32">
        <v>3026</v>
      </c>
    </row>
    <row r="1163" spans="1:7" ht="30" x14ac:dyDescent="0.2">
      <c r="A1163" s="1" t="s">
        <v>331</v>
      </c>
      <c r="B1163" s="3" t="s">
        <v>307</v>
      </c>
      <c r="C1163" s="10" t="s">
        <v>9</v>
      </c>
      <c r="D1163" s="10" t="s">
        <v>15</v>
      </c>
      <c r="E1163" s="3" t="s">
        <v>129</v>
      </c>
      <c r="F1163" s="7"/>
      <c r="G1163" s="32">
        <f>G1164+G1166+G1168+G1170</f>
        <v>703882.2</v>
      </c>
    </row>
    <row r="1164" spans="1:7" x14ac:dyDescent="0.2">
      <c r="A1164" s="18" t="s">
        <v>411</v>
      </c>
      <c r="B1164" s="3" t="s">
        <v>307</v>
      </c>
      <c r="C1164" s="23" t="s">
        <v>9</v>
      </c>
      <c r="D1164" s="23" t="s">
        <v>15</v>
      </c>
      <c r="E1164" s="3" t="s">
        <v>412</v>
      </c>
      <c r="F1164" s="7"/>
      <c r="G1164" s="32">
        <f>G1165</f>
        <v>414050.39999999997</v>
      </c>
    </row>
    <row r="1165" spans="1:7" ht="30" x14ac:dyDescent="0.2">
      <c r="A1165" s="44" t="s">
        <v>102</v>
      </c>
      <c r="B1165" s="3" t="s">
        <v>307</v>
      </c>
      <c r="C1165" s="19" t="s">
        <v>9</v>
      </c>
      <c r="D1165" s="19" t="s">
        <v>15</v>
      </c>
      <c r="E1165" s="3" t="s">
        <v>412</v>
      </c>
      <c r="F1165" s="10" t="s">
        <v>101</v>
      </c>
      <c r="G1165" s="32">
        <f>399752.8+14297.6</f>
        <v>414050.39999999997</v>
      </c>
    </row>
    <row r="1166" spans="1:7" x14ac:dyDescent="0.2">
      <c r="A1166" s="51" t="s">
        <v>327</v>
      </c>
      <c r="B1166" s="3" t="s">
        <v>307</v>
      </c>
      <c r="C1166" s="10" t="s">
        <v>9</v>
      </c>
      <c r="D1166" s="10" t="s">
        <v>15</v>
      </c>
      <c r="E1166" s="3" t="s">
        <v>328</v>
      </c>
      <c r="F1166" s="10"/>
      <c r="G1166" s="32">
        <f>G1167</f>
        <v>163385.4</v>
      </c>
    </row>
    <row r="1167" spans="1:7" ht="30" x14ac:dyDescent="0.2">
      <c r="A1167" s="44" t="s">
        <v>102</v>
      </c>
      <c r="B1167" s="3" t="s">
        <v>307</v>
      </c>
      <c r="C1167" s="19" t="s">
        <v>9</v>
      </c>
      <c r="D1167" s="19" t="s">
        <v>15</v>
      </c>
      <c r="E1167" s="3" t="s">
        <v>328</v>
      </c>
      <c r="F1167" s="10" t="s">
        <v>101</v>
      </c>
      <c r="G1167" s="32">
        <f>900+503.8+6237+155744.6</f>
        <v>163385.4</v>
      </c>
    </row>
    <row r="1168" spans="1:7" ht="30" x14ac:dyDescent="0.2">
      <c r="A1168" s="9" t="s">
        <v>329</v>
      </c>
      <c r="B1168" s="3" t="s">
        <v>307</v>
      </c>
      <c r="C1168" s="23" t="s">
        <v>9</v>
      </c>
      <c r="D1168" s="23" t="s">
        <v>15</v>
      </c>
      <c r="E1168" s="3" t="s">
        <v>330</v>
      </c>
      <c r="F1168" s="10"/>
      <c r="G1168" s="32">
        <f>G1169</f>
        <v>69863.400000000009</v>
      </c>
    </row>
    <row r="1169" spans="1:7" s="27" customFormat="1" ht="30" x14ac:dyDescent="0.2">
      <c r="A1169" s="44" t="s">
        <v>102</v>
      </c>
      <c r="B1169" s="3" t="s">
        <v>307</v>
      </c>
      <c r="C1169" s="23" t="s">
        <v>9</v>
      </c>
      <c r="D1169" s="23" t="s">
        <v>15</v>
      </c>
      <c r="E1169" s="3" t="s">
        <v>330</v>
      </c>
      <c r="F1169" s="10" t="s">
        <v>101</v>
      </c>
      <c r="G1169" s="32">
        <f>47422.5-249.1+671.8+22018.2</f>
        <v>69863.400000000009</v>
      </c>
    </row>
    <row r="1170" spans="1:7" s="27" customFormat="1" x14ac:dyDescent="0.2">
      <c r="A1170" s="9" t="s">
        <v>481</v>
      </c>
      <c r="B1170" s="3" t="s">
        <v>307</v>
      </c>
      <c r="C1170" s="23" t="s">
        <v>9</v>
      </c>
      <c r="D1170" s="23" t="s">
        <v>15</v>
      </c>
      <c r="E1170" s="3" t="s">
        <v>482</v>
      </c>
      <c r="F1170" s="10"/>
      <c r="G1170" s="32">
        <f>G1171</f>
        <v>56583</v>
      </c>
    </row>
    <row r="1171" spans="1:7" s="27" customFormat="1" ht="30" x14ac:dyDescent="0.2">
      <c r="A1171" s="44" t="s">
        <v>102</v>
      </c>
      <c r="B1171" s="3" t="s">
        <v>307</v>
      </c>
      <c r="C1171" s="23" t="s">
        <v>9</v>
      </c>
      <c r="D1171" s="23" t="s">
        <v>15</v>
      </c>
      <c r="E1171" s="3" t="s">
        <v>482</v>
      </c>
      <c r="F1171" s="10" t="s">
        <v>101</v>
      </c>
      <c r="G1171" s="32">
        <f>80000-23417</f>
        <v>56583</v>
      </c>
    </row>
    <row r="1172" spans="1:7" s="27" customFormat="1" x14ac:dyDescent="0.2">
      <c r="A1172" s="45" t="s">
        <v>82</v>
      </c>
      <c r="B1172" s="3" t="s">
        <v>307</v>
      </c>
      <c r="C1172" s="3" t="s">
        <v>10</v>
      </c>
      <c r="D1172" s="3"/>
      <c r="E1172" s="3"/>
      <c r="F1172" s="3"/>
      <c r="G1172" s="32">
        <f>G1173+G1179</f>
        <v>21706.399999999998</v>
      </c>
    </row>
    <row r="1173" spans="1:7" s="27" customFormat="1" x14ac:dyDescent="0.2">
      <c r="A1173" s="45" t="s">
        <v>449</v>
      </c>
      <c r="B1173" s="3" t="s">
        <v>307</v>
      </c>
      <c r="C1173" s="3" t="s">
        <v>10</v>
      </c>
      <c r="D1173" s="3" t="s">
        <v>16</v>
      </c>
      <c r="E1173" s="3"/>
      <c r="F1173" s="3"/>
      <c r="G1173" s="32">
        <f t="shared" ref="G1173:G1177" si="7">G1174</f>
        <v>18342.8</v>
      </c>
    </row>
    <row r="1174" spans="1:7" s="27" customFormat="1" ht="45" x14ac:dyDescent="0.2">
      <c r="A1174" s="1" t="s">
        <v>483</v>
      </c>
      <c r="B1174" s="3" t="s">
        <v>307</v>
      </c>
      <c r="C1174" s="10" t="s">
        <v>10</v>
      </c>
      <c r="D1174" s="10" t="s">
        <v>16</v>
      </c>
      <c r="E1174" s="3" t="s">
        <v>487</v>
      </c>
      <c r="F1174" s="12"/>
      <c r="G1174" s="32">
        <f t="shared" si="7"/>
        <v>18342.8</v>
      </c>
    </row>
    <row r="1175" spans="1:7" s="27" customFormat="1" ht="30" x14ac:dyDescent="0.2">
      <c r="A1175" s="1" t="s">
        <v>484</v>
      </c>
      <c r="B1175" s="3" t="s">
        <v>307</v>
      </c>
      <c r="C1175" s="10" t="s">
        <v>10</v>
      </c>
      <c r="D1175" s="10" t="s">
        <v>16</v>
      </c>
      <c r="E1175" s="3" t="s">
        <v>488</v>
      </c>
      <c r="F1175" s="12"/>
      <c r="G1175" s="32">
        <f t="shared" si="7"/>
        <v>18342.8</v>
      </c>
    </row>
    <row r="1176" spans="1:7" s="27" customFormat="1" x14ac:dyDescent="0.2">
      <c r="A1176" s="1" t="s">
        <v>485</v>
      </c>
      <c r="B1176" s="3" t="s">
        <v>307</v>
      </c>
      <c r="C1176" s="10" t="s">
        <v>10</v>
      </c>
      <c r="D1176" s="10" t="s">
        <v>16</v>
      </c>
      <c r="E1176" s="3" t="s">
        <v>489</v>
      </c>
      <c r="F1176" s="12"/>
      <c r="G1176" s="32">
        <f t="shared" si="7"/>
        <v>18342.8</v>
      </c>
    </row>
    <row r="1177" spans="1:7" s="27" customFormat="1" x14ac:dyDescent="0.2">
      <c r="A1177" s="45" t="s">
        <v>486</v>
      </c>
      <c r="B1177" s="3" t="s">
        <v>307</v>
      </c>
      <c r="C1177" s="10" t="s">
        <v>10</v>
      </c>
      <c r="D1177" s="10" t="s">
        <v>16</v>
      </c>
      <c r="E1177" s="3" t="s">
        <v>490</v>
      </c>
      <c r="F1177" s="3"/>
      <c r="G1177" s="32">
        <f t="shared" si="7"/>
        <v>18342.8</v>
      </c>
    </row>
    <row r="1178" spans="1:7" s="27" customFormat="1" ht="30" x14ac:dyDescent="0.2">
      <c r="A1178" s="44" t="s">
        <v>102</v>
      </c>
      <c r="B1178" s="3" t="s">
        <v>307</v>
      </c>
      <c r="C1178" s="3" t="s">
        <v>10</v>
      </c>
      <c r="D1178" s="3" t="s">
        <v>16</v>
      </c>
      <c r="E1178" s="3" t="s">
        <v>490</v>
      </c>
      <c r="F1178" s="3" t="s">
        <v>101</v>
      </c>
      <c r="G1178" s="32">
        <f>18325.3+17.5</f>
        <v>18342.8</v>
      </c>
    </row>
    <row r="1179" spans="1:7" ht="30" x14ac:dyDescent="0.2">
      <c r="A1179" s="9" t="s">
        <v>83</v>
      </c>
      <c r="B1179" s="3" t="s">
        <v>307</v>
      </c>
      <c r="C1179" s="3" t="s">
        <v>10</v>
      </c>
      <c r="D1179" s="3" t="s">
        <v>15</v>
      </c>
      <c r="E1179" s="3"/>
      <c r="F1179" s="3"/>
      <c r="G1179" s="32">
        <f>G1180</f>
        <v>3363.6</v>
      </c>
    </row>
    <row r="1180" spans="1:7" s="27" customFormat="1" ht="45" x14ac:dyDescent="0.2">
      <c r="A1180" s="20" t="s">
        <v>483</v>
      </c>
      <c r="B1180" s="3" t="s">
        <v>307</v>
      </c>
      <c r="C1180" s="23" t="s">
        <v>10</v>
      </c>
      <c r="D1180" s="23" t="s">
        <v>15</v>
      </c>
      <c r="E1180" s="19" t="s">
        <v>487</v>
      </c>
      <c r="F1180" s="19"/>
      <c r="G1180" s="28">
        <f>G1181</f>
        <v>3363.6</v>
      </c>
    </row>
    <row r="1181" spans="1:7" s="27" customFormat="1" ht="30" x14ac:dyDescent="0.2">
      <c r="A1181" s="20" t="s">
        <v>484</v>
      </c>
      <c r="B1181" s="3" t="s">
        <v>307</v>
      </c>
      <c r="C1181" s="23" t="s">
        <v>10</v>
      </c>
      <c r="D1181" s="23" t="s">
        <v>15</v>
      </c>
      <c r="E1181" s="19" t="s">
        <v>488</v>
      </c>
      <c r="F1181" s="19"/>
      <c r="G1181" s="28">
        <f>G1182</f>
        <v>3363.6</v>
      </c>
    </row>
    <row r="1182" spans="1:7" s="27" customFormat="1" x14ac:dyDescent="0.2">
      <c r="A1182" s="20" t="s">
        <v>485</v>
      </c>
      <c r="B1182" s="3" t="s">
        <v>307</v>
      </c>
      <c r="C1182" s="23" t="s">
        <v>10</v>
      </c>
      <c r="D1182" s="23" t="s">
        <v>15</v>
      </c>
      <c r="E1182" s="19" t="s">
        <v>489</v>
      </c>
      <c r="F1182" s="19"/>
      <c r="G1182" s="28">
        <f>G1183</f>
        <v>3363.6</v>
      </c>
    </row>
    <row r="1183" spans="1:7" s="27" customFormat="1" x14ac:dyDescent="0.2">
      <c r="A1183" s="18" t="s">
        <v>486</v>
      </c>
      <c r="B1183" s="3" t="s">
        <v>307</v>
      </c>
      <c r="C1183" s="19" t="s">
        <v>10</v>
      </c>
      <c r="D1183" s="19" t="s">
        <v>15</v>
      </c>
      <c r="E1183" s="19" t="s">
        <v>490</v>
      </c>
      <c r="F1183" s="19"/>
      <c r="G1183" s="28">
        <f>G1184</f>
        <v>3363.6</v>
      </c>
    </row>
    <row r="1184" spans="1:7" s="27" customFormat="1" ht="30" x14ac:dyDescent="0.2">
      <c r="A1184" s="20" t="s">
        <v>102</v>
      </c>
      <c r="B1184" s="3" t="s">
        <v>307</v>
      </c>
      <c r="C1184" s="19" t="s">
        <v>10</v>
      </c>
      <c r="D1184" s="19" t="s">
        <v>15</v>
      </c>
      <c r="E1184" s="19" t="s">
        <v>490</v>
      </c>
      <c r="F1184" s="19" t="s">
        <v>101</v>
      </c>
      <c r="G1184" s="28">
        <v>3363.6</v>
      </c>
    </row>
    <row r="1185" spans="1:7" s="27" customFormat="1" x14ac:dyDescent="0.2">
      <c r="A1185" s="9" t="s">
        <v>182</v>
      </c>
      <c r="B1185" s="3" t="s">
        <v>307</v>
      </c>
      <c r="C1185" s="19" t="s">
        <v>21</v>
      </c>
      <c r="D1185" s="19"/>
      <c r="E1185" s="19"/>
      <c r="F1185" s="19"/>
      <c r="G1185" s="28">
        <f t="shared" ref="G1185:G1190" si="8">G1186</f>
        <v>6110.7</v>
      </c>
    </row>
    <row r="1186" spans="1:7" s="27" customFormat="1" x14ac:dyDescent="0.2">
      <c r="A1186" s="1" t="s">
        <v>183</v>
      </c>
      <c r="B1186" s="3" t="s">
        <v>307</v>
      </c>
      <c r="C1186" s="19" t="s">
        <v>21</v>
      </c>
      <c r="D1186" s="19" t="s">
        <v>6</v>
      </c>
      <c r="E1186" s="19"/>
      <c r="F1186" s="19"/>
      <c r="G1186" s="28">
        <f t="shared" si="8"/>
        <v>6110.7</v>
      </c>
    </row>
    <row r="1187" spans="1:7" s="27" customFormat="1" ht="30" x14ac:dyDescent="0.2">
      <c r="A1187" s="44" t="s">
        <v>551</v>
      </c>
      <c r="B1187" s="3" t="s">
        <v>307</v>
      </c>
      <c r="C1187" s="19" t="s">
        <v>21</v>
      </c>
      <c r="D1187" s="19" t="s">
        <v>6</v>
      </c>
      <c r="E1187" s="57" t="s">
        <v>161</v>
      </c>
      <c r="F1187" s="19"/>
      <c r="G1187" s="28">
        <f t="shared" si="8"/>
        <v>6110.7</v>
      </c>
    </row>
    <row r="1188" spans="1:7" s="27" customFormat="1" ht="30" x14ac:dyDescent="0.2">
      <c r="A1188" s="20" t="s">
        <v>745</v>
      </c>
      <c r="B1188" s="3" t="s">
        <v>307</v>
      </c>
      <c r="C1188" s="3" t="s">
        <v>21</v>
      </c>
      <c r="D1188" s="3" t="s">
        <v>6</v>
      </c>
      <c r="E1188" s="19" t="s">
        <v>748</v>
      </c>
      <c r="F1188" s="3"/>
      <c r="G1188" s="32">
        <f t="shared" si="8"/>
        <v>6110.7</v>
      </c>
    </row>
    <row r="1189" spans="1:7" s="27" customFormat="1" ht="60" x14ac:dyDescent="0.2">
      <c r="A1189" s="20" t="s">
        <v>746</v>
      </c>
      <c r="B1189" s="3" t="s">
        <v>307</v>
      </c>
      <c r="C1189" s="3" t="s">
        <v>21</v>
      </c>
      <c r="D1189" s="3" t="s">
        <v>6</v>
      </c>
      <c r="E1189" s="19" t="s">
        <v>749</v>
      </c>
      <c r="F1189" s="3"/>
      <c r="G1189" s="32">
        <f t="shared" si="8"/>
        <v>6110.7</v>
      </c>
    </row>
    <row r="1190" spans="1:7" s="27" customFormat="1" x14ac:dyDescent="0.2">
      <c r="A1190" s="20" t="s">
        <v>747</v>
      </c>
      <c r="B1190" s="3" t="s">
        <v>307</v>
      </c>
      <c r="C1190" s="3" t="s">
        <v>21</v>
      </c>
      <c r="D1190" s="3" t="s">
        <v>6</v>
      </c>
      <c r="E1190" s="19" t="s">
        <v>750</v>
      </c>
      <c r="F1190" s="3"/>
      <c r="G1190" s="32">
        <f t="shared" si="8"/>
        <v>6110.7</v>
      </c>
    </row>
    <row r="1191" spans="1:7" s="27" customFormat="1" ht="30" x14ac:dyDescent="0.2">
      <c r="A1191" s="44" t="s">
        <v>102</v>
      </c>
      <c r="B1191" s="3" t="s">
        <v>307</v>
      </c>
      <c r="C1191" s="3" t="s">
        <v>21</v>
      </c>
      <c r="D1191" s="3" t="s">
        <v>6</v>
      </c>
      <c r="E1191" s="19" t="s">
        <v>750</v>
      </c>
      <c r="F1191" s="3" t="s">
        <v>101</v>
      </c>
      <c r="G1191" s="32">
        <v>6110.7</v>
      </c>
    </row>
    <row r="1192" spans="1:7" s="24" customFormat="1" x14ac:dyDescent="0.2">
      <c r="A1192" s="1" t="s">
        <v>98</v>
      </c>
      <c r="B1192" s="3" t="s">
        <v>307</v>
      </c>
      <c r="C1192" s="3" t="s">
        <v>17</v>
      </c>
      <c r="D1192" s="3"/>
      <c r="E1192" s="3"/>
      <c r="F1192" s="3"/>
      <c r="G1192" s="32">
        <f>G1193</f>
        <v>1889.2</v>
      </c>
    </row>
    <row r="1193" spans="1:7" s="24" customFormat="1" x14ac:dyDescent="0.2">
      <c r="A1193" s="45" t="s">
        <v>308</v>
      </c>
      <c r="B1193" s="3" t="s">
        <v>307</v>
      </c>
      <c r="C1193" s="3" t="s">
        <v>17</v>
      </c>
      <c r="D1193" s="3" t="s">
        <v>30</v>
      </c>
      <c r="E1193" s="3"/>
      <c r="F1193" s="5"/>
      <c r="G1193" s="8">
        <f>G1194</f>
        <v>1889.2</v>
      </c>
    </row>
    <row r="1194" spans="1:7" s="24" customFormat="1" ht="30" x14ac:dyDescent="0.2">
      <c r="A1194" s="56" t="s">
        <v>119</v>
      </c>
      <c r="B1194" s="3" t="s">
        <v>307</v>
      </c>
      <c r="C1194" s="3" t="s">
        <v>17</v>
      </c>
      <c r="D1194" s="3" t="s">
        <v>30</v>
      </c>
      <c r="E1194" s="57" t="s">
        <v>309</v>
      </c>
      <c r="F1194" s="48"/>
      <c r="G1194" s="8">
        <f>G1195</f>
        <v>1889.2</v>
      </c>
    </row>
    <row r="1195" spans="1:7" s="24" customFormat="1" ht="45" x14ac:dyDescent="0.2">
      <c r="A1195" s="56" t="s">
        <v>120</v>
      </c>
      <c r="B1195" s="3" t="s">
        <v>307</v>
      </c>
      <c r="C1195" s="3" t="s">
        <v>17</v>
      </c>
      <c r="D1195" s="3" t="s">
        <v>30</v>
      </c>
      <c r="E1195" s="57" t="s">
        <v>310</v>
      </c>
      <c r="F1195" s="48"/>
      <c r="G1195" s="8">
        <f>G1196</f>
        <v>1889.2</v>
      </c>
    </row>
    <row r="1196" spans="1:7" s="24" customFormat="1" ht="30" x14ac:dyDescent="0.2">
      <c r="A1196" s="56" t="s">
        <v>311</v>
      </c>
      <c r="B1196" s="3" t="s">
        <v>307</v>
      </c>
      <c r="C1196" s="3" t="s">
        <v>17</v>
      </c>
      <c r="D1196" s="3" t="s">
        <v>30</v>
      </c>
      <c r="E1196" s="57" t="s">
        <v>312</v>
      </c>
      <c r="F1196" s="48"/>
      <c r="G1196" s="8">
        <f>G1197</f>
        <v>1889.2</v>
      </c>
    </row>
    <row r="1197" spans="1:7" s="24" customFormat="1" ht="120" x14ac:dyDescent="0.2">
      <c r="A1197" s="9" t="s">
        <v>99</v>
      </c>
      <c r="B1197" s="3" t="s">
        <v>307</v>
      </c>
      <c r="C1197" s="3" t="s">
        <v>17</v>
      </c>
      <c r="D1197" s="3" t="s">
        <v>30</v>
      </c>
      <c r="E1197" s="3" t="s">
        <v>313</v>
      </c>
      <c r="F1197" s="48"/>
      <c r="G1197" s="8">
        <f>SUM(G1198:G1198)</f>
        <v>1889.2</v>
      </c>
    </row>
    <row r="1198" spans="1:7" s="24" customFormat="1" ht="30" x14ac:dyDescent="0.2">
      <c r="A1198" s="44" t="s">
        <v>102</v>
      </c>
      <c r="B1198" s="3" t="s">
        <v>307</v>
      </c>
      <c r="C1198" s="3" t="s">
        <v>17</v>
      </c>
      <c r="D1198" s="3" t="s">
        <v>30</v>
      </c>
      <c r="E1198" s="3" t="s">
        <v>313</v>
      </c>
      <c r="F1198" s="48">
        <v>200</v>
      </c>
      <c r="G1198" s="8">
        <v>1889.2</v>
      </c>
    </row>
    <row r="1199" spans="1:7" s="37" customFormat="1" x14ac:dyDescent="0.2">
      <c r="A1199" s="44"/>
      <c r="B1199" s="10"/>
      <c r="C1199" s="10"/>
      <c r="D1199" s="10"/>
      <c r="E1199" s="5"/>
      <c r="F1199" s="5"/>
      <c r="G1199" s="32"/>
    </row>
    <row r="1200" spans="1:7" ht="42.75" x14ac:dyDescent="0.2">
      <c r="A1200" s="6" t="s">
        <v>87</v>
      </c>
      <c r="B1200" s="7" t="s">
        <v>314</v>
      </c>
      <c r="C1200" s="7"/>
      <c r="D1200" s="7"/>
      <c r="E1200" s="16"/>
      <c r="F1200" s="16"/>
      <c r="G1200" s="33">
        <f>G1201+G1229+G1236+G1255+G1263</f>
        <v>268803.09999999992</v>
      </c>
    </row>
    <row r="1201" spans="1:7" s="24" customFormat="1" x14ac:dyDescent="0.2">
      <c r="A1201" s="1" t="s">
        <v>5</v>
      </c>
      <c r="B1201" s="3" t="s">
        <v>314</v>
      </c>
      <c r="C1201" s="3" t="s">
        <v>6</v>
      </c>
      <c r="D1201" s="3"/>
      <c r="E1201" s="3"/>
      <c r="F1201" s="3"/>
      <c r="G1201" s="8">
        <f>G1202+G1211</f>
        <v>115189.99999999999</v>
      </c>
    </row>
    <row r="1202" spans="1:7" s="24" customFormat="1" ht="45" x14ac:dyDescent="0.2">
      <c r="A1202" s="9" t="s">
        <v>26</v>
      </c>
      <c r="B1202" s="3" t="s">
        <v>314</v>
      </c>
      <c r="C1202" s="10" t="s">
        <v>6</v>
      </c>
      <c r="D1202" s="10" t="s">
        <v>7</v>
      </c>
      <c r="E1202" s="11"/>
      <c r="F1202" s="10"/>
      <c r="G1202" s="31">
        <f>G1203</f>
        <v>14354.199999999997</v>
      </c>
    </row>
    <row r="1203" spans="1:7" s="24" customFormat="1" ht="30" x14ac:dyDescent="0.2">
      <c r="A1203" s="44" t="s">
        <v>537</v>
      </c>
      <c r="B1203" s="3" t="s">
        <v>314</v>
      </c>
      <c r="C1203" s="19" t="s">
        <v>6</v>
      </c>
      <c r="D1203" s="19" t="s">
        <v>7</v>
      </c>
      <c r="E1203" s="3" t="s">
        <v>534</v>
      </c>
      <c r="F1203" s="19"/>
      <c r="G1203" s="47">
        <f>G1204</f>
        <v>14354.199999999997</v>
      </c>
    </row>
    <row r="1204" spans="1:7" s="24" customFormat="1" ht="45" x14ac:dyDescent="0.2">
      <c r="A1204" s="44" t="s">
        <v>538</v>
      </c>
      <c r="B1204" s="3" t="s">
        <v>314</v>
      </c>
      <c r="C1204" s="19" t="s">
        <v>6</v>
      </c>
      <c r="D1204" s="19" t="s">
        <v>7</v>
      </c>
      <c r="E1204" s="3" t="s">
        <v>535</v>
      </c>
      <c r="F1204" s="19"/>
      <c r="G1204" s="47">
        <f>G1205+G1209</f>
        <v>14354.199999999997</v>
      </c>
    </row>
    <row r="1205" spans="1:7" s="24" customFormat="1" x14ac:dyDescent="0.2">
      <c r="A1205" s="44" t="s">
        <v>8</v>
      </c>
      <c r="B1205" s="3" t="s">
        <v>314</v>
      </c>
      <c r="C1205" s="19" t="s">
        <v>6</v>
      </c>
      <c r="D1205" s="19" t="s">
        <v>7</v>
      </c>
      <c r="E1205" s="3" t="s">
        <v>536</v>
      </c>
      <c r="F1205" s="19"/>
      <c r="G1205" s="47">
        <f>G1206+G1207+G1208</f>
        <v>11955.699999999997</v>
      </c>
    </row>
    <row r="1206" spans="1:7" s="24" customFormat="1" ht="60" x14ac:dyDescent="0.2">
      <c r="A1206" s="44" t="s">
        <v>108</v>
      </c>
      <c r="B1206" s="3" t="s">
        <v>314</v>
      </c>
      <c r="C1206" s="19" t="s">
        <v>6</v>
      </c>
      <c r="D1206" s="19" t="s">
        <v>7</v>
      </c>
      <c r="E1206" s="3" t="s">
        <v>536</v>
      </c>
      <c r="F1206" s="19" t="s">
        <v>103</v>
      </c>
      <c r="G1206" s="47">
        <f>8453.9+852+1383.4+825.4</f>
        <v>11514.699999999999</v>
      </c>
    </row>
    <row r="1207" spans="1:7" s="24" customFormat="1" ht="30" x14ac:dyDescent="0.2">
      <c r="A1207" s="44" t="s">
        <v>102</v>
      </c>
      <c r="B1207" s="3" t="s">
        <v>314</v>
      </c>
      <c r="C1207" s="19" t="s">
        <v>6</v>
      </c>
      <c r="D1207" s="19" t="s">
        <v>7</v>
      </c>
      <c r="E1207" s="3" t="s">
        <v>536</v>
      </c>
      <c r="F1207" s="19" t="s">
        <v>101</v>
      </c>
      <c r="G1207" s="47">
        <f>2838.7-2398.5</f>
        <v>440.19999999999982</v>
      </c>
    </row>
    <row r="1208" spans="1:7" s="24" customFormat="1" x14ac:dyDescent="0.2">
      <c r="A1208" s="44" t="s">
        <v>109</v>
      </c>
      <c r="B1208" s="3" t="s">
        <v>314</v>
      </c>
      <c r="C1208" s="19" t="s">
        <v>6</v>
      </c>
      <c r="D1208" s="19" t="s">
        <v>7</v>
      </c>
      <c r="E1208" s="3" t="s">
        <v>536</v>
      </c>
      <c r="F1208" s="19" t="s">
        <v>104</v>
      </c>
      <c r="G1208" s="47">
        <v>0.8</v>
      </c>
    </row>
    <row r="1209" spans="1:7" s="24" customFormat="1" ht="30" x14ac:dyDescent="0.2">
      <c r="A1209" s="44" t="s">
        <v>539</v>
      </c>
      <c r="B1209" s="3" t="s">
        <v>314</v>
      </c>
      <c r="C1209" s="19" t="s">
        <v>6</v>
      </c>
      <c r="D1209" s="19" t="s">
        <v>7</v>
      </c>
      <c r="E1209" s="3" t="s">
        <v>541</v>
      </c>
      <c r="F1209" s="19"/>
      <c r="G1209" s="47">
        <f>G1210</f>
        <v>2398.5</v>
      </c>
    </row>
    <row r="1210" spans="1:7" s="24" customFormat="1" ht="30" x14ac:dyDescent="0.2">
      <c r="A1210" s="44" t="s">
        <v>102</v>
      </c>
      <c r="B1210" s="3" t="s">
        <v>314</v>
      </c>
      <c r="C1210" s="19" t="s">
        <v>6</v>
      </c>
      <c r="D1210" s="19" t="s">
        <v>7</v>
      </c>
      <c r="E1210" s="3" t="s">
        <v>541</v>
      </c>
      <c r="F1210" s="19" t="s">
        <v>101</v>
      </c>
      <c r="G1210" s="47">
        <v>2398.5</v>
      </c>
    </row>
    <row r="1211" spans="1:7" s="24" customFormat="1" x14ac:dyDescent="0.2">
      <c r="A1211" s="1" t="s">
        <v>42</v>
      </c>
      <c r="B1211" s="3" t="s">
        <v>314</v>
      </c>
      <c r="C1211" s="3" t="s">
        <v>6</v>
      </c>
      <c r="D1211" s="3" t="s">
        <v>50</v>
      </c>
      <c r="E1211" s="3"/>
      <c r="F1211" s="3"/>
      <c r="G1211" s="8">
        <f>G1212+G1216</f>
        <v>100835.79999999999</v>
      </c>
    </row>
    <row r="1212" spans="1:7" s="24" customFormat="1" x14ac:dyDescent="0.2">
      <c r="A1212" s="20" t="s">
        <v>115</v>
      </c>
      <c r="B1212" s="3" t="s">
        <v>314</v>
      </c>
      <c r="C1212" s="3" t="s">
        <v>6</v>
      </c>
      <c r="D1212" s="3" t="s">
        <v>50</v>
      </c>
      <c r="E1212" s="55" t="s">
        <v>122</v>
      </c>
      <c r="F1212" s="3"/>
      <c r="G1212" s="8">
        <f>G1213</f>
        <v>400</v>
      </c>
    </row>
    <row r="1213" spans="1:7" s="24" customFormat="1" ht="30" x14ac:dyDescent="0.2">
      <c r="A1213" s="45" t="s">
        <v>100</v>
      </c>
      <c r="B1213" s="3" t="s">
        <v>314</v>
      </c>
      <c r="C1213" s="3" t="s">
        <v>6</v>
      </c>
      <c r="D1213" s="3" t="s">
        <v>50</v>
      </c>
      <c r="E1213" s="19" t="s">
        <v>126</v>
      </c>
      <c r="F1213" s="3"/>
      <c r="G1213" s="8">
        <f>G1214</f>
        <v>400</v>
      </c>
    </row>
    <row r="1214" spans="1:7" s="24" customFormat="1" ht="30" x14ac:dyDescent="0.2">
      <c r="A1214" s="44" t="s">
        <v>717</v>
      </c>
      <c r="B1214" s="3" t="s">
        <v>314</v>
      </c>
      <c r="C1214" s="3" t="s">
        <v>6</v>
      </c>
      <c r="D1214" s="3" t="s">
        <v>50</v>
      </c>
      <c r="E1214" s="19" t="s">
        <v>718</v>
      </c>
      <c r="F1214" s="19"/>
      <c r="G1214" s="8">
        <f>G1215</f>
        <v>400</v>
      </c>
    </row>
    <row r="1215" spans="1:7" s="24" customFormat="1" ht="30" x14ac:dyDescent="0.2">
      <c r="A1215" s="44" t="s">
        <v>102</v>
      </c>
      <c r="B1215" s="3" t="s">
        <v>314</v>
      </c>
      <c r="C1215" s="3" t="s">
        <v>6</v>
      </c>
      <c r="D1215" s="3" t="s">
        <v>50</v>
      </c>
      <c r="E1215" s="19" t="s">
        <v>718</v>
      </c>
      <c r="F1215" s="19" t="s">
        <v>101</v>
      </c>
      <c r="G1215" s="8">
        <v>400</v>
      </c>
    </row>
    <row r="1216" spans="1:7" s="24" customFormat="1" ht="30" x14ac:dyDescent="0.2">
      <c r="A1216" s="44" t="s">
        <v>537</v>
      </c>
      <c r="B1216" s="3" t="s">
        <v>314</v>
      </c>
      <c r="C1216" s="3" t="s">
        <v>6</v>
      </c>
      <c r="D1216" s="3" t="s">
        <v>50</v>
      </c>
      <c r="E1216" s="3" t="s">
        <v>534</v>
      </c>
      <c r="F1216" s="19"/>
      <c r="G1216" s="47">
        <f>G1217+G1225</f>
        <v>100435.79999999999</v>
      </c>
    </row>
    <row r="1217" spans="1:7" s="24" customFormat="1" ht="45" x14ac:dyDescent="0.2">
      <c r="A1217" s="44" t="s">
        <v>538</v>
      </c>
      <c r="B1217" s="3" t="s">
        <v>314</v>
      </c>
      <c r="C1217" s="3" t="s">
        <v>6</v>
      </c>
      <c r="D1217" s="3" t="s">
        <v>50</v>
      </c>
      <c r="E1217" s="3" t="s">
        <v>540</v>
      </c>
      <c r="F1217" s="19"/>
      <c r="G1217" s="47">
        <f>G1218</f>
        <v>85759.9</v>
      </c>
    </row>
    <row r="1218" spans="1:7" s="24" customFormat="1" ht="75" x14ac:dyDescent="0.2">
      <c r="A1218" s="44" t="s">
        <v>554</v>
      </c>
      <c r="B1218" s="3" t="s">
        <v>314</v>
      </c>
      <c r="C1218" s="3" t="s">
        <v>6</v>
      </c>
      <c r="D1218" s="3" t="s">
        <v>50</v>
      </c>
      <c r="E1218" s="3" t="s">
        <v>535</v>
      </c>
      <c r="F1218" s="19"/>
      <c r="G1218" s="47">
        <f>G1219+G1221+G1223</f>
        <v>85759.9</v>
      </c>
    </row>
    <row r="1219" spans="1:7" s="24" customFormat="1" x14ac:dyDescent="0.2">
      <c r="A1219" s="44" t="s">
        <v>94</v>
      </c>
      <c r="B1219" s="3" t="s">
        <v>314</v>
      </c>
      <c r="C1219" s="3" t="s">
        <v>6</v>
      </c>
      <c r="D1219" s="3" t="s">
        <v>50</v>
      </c>
      <c r="E1219" s="3" t="s">
        <v>561</v>
      </c>
      <c r="F1219" s="19"/>
      <c r="G1219" s="47">
        <f>G1220</f>
        <v>44.2</v>
      </c>
    </row>
    <row r="1220" spans="1:7" s="24" customFormat="1" x14ac:dyDescent="0.2">
      <c r="A1220" s="44" t="s">
        <v>109</v>
      </c>
      <c r="B1220" s="3" t="s">
        <v>314</v>
      </c>
      <c r="C1220" s="3" t="s">
        <v>6</v>
      </c>
      <c r="D1220" s="3" t="s">
        <v>50</v>
      </c>
      <c r="E1220" s="3" t="s">
        <v>561</v>
      </c>
      <c r="F1220" s="19" t="s">
        <v>104</v>
      </c>
      <c r="G1220" s="47">
        <v>44.2</v>
      </c>
    </row>
    <row r="1221" spans="1:7" s="24" customFormat="1" ht="30" x14ac:dyDescent="0.2">
      <c r="A1221" s="44" t="s">
        <v>539</v>
      </c>
      <c r="B1221" s="3" t="s">
        <v>314</v>
      </c>
      <c r="C1221" s="19" t="s">
        <v>6</v>
      </c>
      <c r="D1221" s="19" t="s">
        <v>50</v>
      </c>
      <c r="E1221" s="3" t="s">
        <v>541</v>
      </c>
      <c r="F1221" s="19"/>
      <c r="G1221" s="47">
        <f>G1222</f>
        <v>442.8</v>
      </c>
    </row>
    <row r="1222" spans="1:7" s="24" customFormat="1" ht="30" x14ac:dyDescent="0.2">
      <c r="A1222" s="44" t="s">
        <v>102</v>
      </c>
      <c r="B1222" s="3" t="s">
        <v>314</v>
      </c>
      <c r="C1222" s="19" t="s">
        <v>6</v>
      </c>
      <c r="D1222" s="19" t="s">
        <v>50</v>
      </c>
      <c r="E1222" s="3" t="s">
        <v>541</v>
      </c>
      <c r="F1222" s="19" t="s">
        <v>101</v>
      </c>
      <c r="G1222" s="47">
        <v>442.8</v>
      </c>
    </row>
    <row r="1223" spans="1:7" s="24" customFormat="1" ht="30" x14ac:dyDescent="0.2">
      <c r="A1223" s="44" t="s">
        <v>671</v>
      </c>
      <c r="B1223" s="3" t="s">
        <v>314</v>
      </c>
      <c r="C1223" s="19" t="s">
        <v>6</v>
      </c>
      <c r="D1223" s="19" t="s">
        <v>50</v>
      </c>
      <c r="E1223" s="3" t="s">
        <v>670</v>
      </c>
      <c r="F1223" s="19"/>
      <c r="G1223" s="47">
        <f>G1224</f>
        <v>85272.9</v>
      </c>
    </row>
    <row r="1224" spans="1:7" s="24" customFormat="1" ht="30" x14ac:dyDescent="0.2">
      <c r="A1224" s="44" t="s">
        <v>102</v>
      </c>
      <c r="B1224" s="3" t="s">
        <v>314</v>
      </c>
      <c r="C1224" s="19" t="s">
        <v>6</v>
      </c>
      <c r="D1224" s="19" t="s">
        <v>50</v>
      </c>
      <c r="E1224" s="3" t="s">
        <v>670</v>
      </c>
      <c r="F1224" s="19" t="s">
        <v>101</v>
      </c>
      <c r="G1224" s="47">
        <f>418.8+840+1000+405.8+50000+7264.2+20344.1+5000</f>
        <v>85272.9</v>
      </c>
    </row>
    <row r="1225" spans="1:7" s="24" customFormat="1" ht="45" x14ac:dyDescent="0.2">
      <c r="A1225" s="44" t="s">
        <v>542</v>
      </c>
      <c r="B1225" s="3" t="s">
        <v>314</v>
      </c>
      <c r="C1225" s="3" t="s">
        <v>6</v>
      </c>
      <c r="D1225" s="3" t="s">
        <v>50</v>
      </c>
      <c r="E1225" s="3" t="s">
        <v>544</v>
      </c>
      <c r="F1225" s="19"/>
      <c r="G1225" s="47">
        <f>G1226</f>
        <v>14675.900000000001</v>
      </c>
    </row>
    <row r="1226" spans="1:7" s="24" customFormat="1" ht="45" x14ac:dyDescent="0.2">
      <c r="A1226" s="44" t="s">
        <v>543</v>
      </c>
      <c r="B1226" s="3" t="s">
        <v>314</v>
      </c>
      <c r="C1226" s="3" t="s">
        <v>6</v>
      </c>
      <c r="D1226" s="3" t="s">
        <v>50</v>
      </c>
      <c r="E1226" s="3" t="s">
        <v>545</v>
      </c>
      <c r="F1226" s="19"/>
      <c r="G1226" s="47">
        <f>G1227</f>
        <v>14675.900000000001</v>
      </c>
    </row>
    <row r="1227" spans="1:7" s="24" customFormat="1" ht="30" x14ac:dyDescent="0.2">
      <c r="A1227" s="44" t="s">
        <v>112</v>
      </c>
      <c r="B1227" s="3" t="s">
        <v>314</v>
      </c>
      <c r="C1227" s="3" t="s">
        <v>6</v>
      </c>
      <c r="D1227" s="3" t="s">
        <v>50</v>
      </c>
      <c r="E1227" s="3" t="s">
        <v>546</v>
      </c>
      <c r="F1227" s="19"/>
      <c r="G1227" s="47">
        <f>G1228</f>
        <v>14675.900000000001</v>
      </c>
    </row>
    <row r="1228" spans="1:7" s="24" customFormat="1" ht="30" x14ac:dyDescent="0.2">
      <c r="A1228" s="20" t="s">
        <v>112</v>
      </c>
      <c r="B1228" s="3" t="s">
        <v>314</v>
      </c>
      <c r="C1228" s="3" t="s">
        <v>6</v>
      </c>
      <c r="D1228" s="3" t="s">
        <v>50</v>
      </c>
      <c r="E1228" s="3" t="s">
        <v>546</v>
      </c>
      <c r="F1228" s="19" t="s">
        <v>107</v>
      </c>
      <c r="G1228" s="47">
        <f>9053.1+3516.6+2030.7+75.5</f>
        <v>14675.900000000001</v>
      </c>
    </row>
    <row r="1229" spans="1:7" s="24" customFormat="1" x14ac:dyDescent="0.2">
      <c r="A1229" s="1" t="s">
        <v>22</v>
      </c>
      <c r="B1229" s="3" t="s">
        <v>314</v>
      </c>
      <c r="C1229" s="3" t="s">
        <v>9</v>
      </c>
      <c r="D1229" s="3"/>
      <c r="E1229" s="3"/>
      <c r="F1229" s="19"/>
      <c r="G1229" s="47">
        <f t="shared" ref="G1229:G1234" si="9">G1230</f>
        <v>772.2</v>
      </c>
    </row>
    <row r="1230" spans="1:7" s="24" customFormat="1" x14ac:dyDescent="0.2">
      <c r="A1230" s="9" t="s">
        <v>43</v>
      </c>
      <c r="B1230" s="3" t="s">
        <v>314</v>
      </c>
      <c r="C1230" s="3" t="s">
        <v>9</v>
      </c>
      <c r="D1230" s="3" t="s">
        <v>15</v>
      </c>
      <c r="E1230" s="3"/>
      <c r="F1230" s="19"/>
      <c r="G1230" s="47">
        <f t="shared" si="9"/>
        <v>772.2</v>
      </c>
    </row>
    <row r="1231" spans="1:7" s="24" customFormat="1" ht="30" x14ac:dyDescent="0.2">
      <c r="A1231" s="44" t="s">
        <v>537</v>
      </c>
      <c r="B1231" s="3" t="s">
        <v>314</v>
      </c>
      <c r="C1231" s="3" t="s">
        <v>9</v>
      </c>
      <c r="D1231" s="3" t="s">
        <v>15</v>
      </c>
      <c r="E1231" s="3" t="s">
        <v>534</v>
      </c>
      <c r="F1231" s="19"/>
      <c r="G1231" s="47">
        <f t="shared" si="9"/>
        <v>772.2</v>
      </c>
    </row>
    <row r="1232" spans="1:7" s="24" customFormat="1" ht="30" x14ac:dyDescent="0.2">
      <c r="A1232" s="20" t="s">
        <v>614</v>
      </c>
      <c r="B1232" s="3" t="s">
        <v>314</v>
      </c>
      <c r="C1232" s="3" t="s">
        <v>9</v>
      </c>
      <c r="D1232" s="3" t="s">
        <v>15</v>
      </c>
      <c r="E1232" s="3" t="s">
        <v>608</v>
      </c>
      <c r="F1232" s="19"/>
      <c r="G1232" s="47">
        <f t="shared" si="9"/>
        <v>772.2</v>
      </c>
    </row>
    <row r="1233" spans="1:7" s="24" customFormat="1" ht="45" x14ac:dyDescent="0.2">
      <c r="A1233" s="20" t="s">
        <v>649</v>
      </c>
      <c r="B1233" s="3" t="s">
        <v>314</v>
      </c>
      <c r="C1233" s="3" t="s">
        <v>9</v>
      </c>
      <c r="D1233" s="3" t="s">
        <v>15</v>
      </c>
      <c r="E1233" s="3" t="s">
        <v>648</v>
      </c>
      <c r="F1233" s="19"/>
      <c r="G1233" s="47">
        <f t="shared" si="9"/>
        <v>772.2</v>
      </c>
    </row>
    <row r="1234" spans="1:7" s="24" customFormat="1" ht="30" x14ac:dyDescent="0.2">
      <c r="A1234" s="20" t="s">
        <v>112</v>
      </c>
      <c r="B1234" s="3" t="s">
        <v>314</v>
      </c>
      <c r="C1234" s="3" t="s">
        <v>9</v>
      </c>
      <c r="D1234" s="3" t="s">
        <v>15</v>
      </c>
      <c r="E1234" s="3" t="s">
        <v>650</v>
      </c>
      <c r="F1234" s="19"/>
      <c r="G1234" s="47">
        <f t="shared" si="9"/>
        <v>772.2</v>
      </c>
    </row>
    <row r="1235" spans="1:7" s="24" customFormat="1" ht="30" x14ac:dyDescent="0.2">
      <c r="A1235" s="20" t="s">
        <v>112</v>
      </c>
      <c r="B1235" s="3" t="s">
        <v>314</v>
      </c>
      <c r="C1235" s="3" t="s">
        <v>9</v>
      </c>
      <c r="D1235" s="3" t="s">
        <v>15</v>
      </c>
      <c r="E1235" s="3" t="s">
        <v>650</v>
      </c>
      <c r="F1235" s="19" t="s">
        <v>107</v>
      </c>
      <c r="G1235" s="47">
        <v>772.2</v>
      </c>
    </row>
    <row r="1236" spans="1:7" s="24" customFormat="1" x14ac:dyDescent="0.2">
      <c r="A1236" s="1" t="s">
        <v>29</v>
      </c>
      <c r="B1236" s="3" t="s">
        <v>314</v>
      </c>
      <c r="C1236" s="3" t="s">
        <v>30</v>
      </c>
      <c r="D1236" s="3"/>
      <c r="E1236" s="3"/>
      <c r="F1236" s="19"/>
      <c r="G1236" s="47">
        <f>G1237+G1244</f>
        <v>148490</v>
      </c>
    </row>
    <row r="1237" spans="1:7" s="24" customFormat="1" x14ac:dyDescent="0.2">
      <c r="A1237" s="1" t="s">
        <v>273</v>
      </c>
      <c r="B1237" s="3" t="s">
        <v>314</v>
      </c>
      <c r="C1237" s="3" t="s">
        <v>30</v>
      </c>
      <c r="D1237" s="3" t="s">
        <v>30</v>
      </c>
      <c r="E1237" s="3"/>
      <c r="F1237" s="19"/>
      <c r="G1237" s="47">
        <f>G1238</f>
        <v>9571.7000000000007</v>
      </c>
    </row>
    <row r="1238" spans="1:7" s="24" customFormat="1" ht="30" x14ac:dyDescent="0.2">
      <c r="A1238" s="44" t="s">
        <v>537</v>
      </c>
      <c r="B1238" s="3" t="s">
        <v>314</v>
      </c>
      <c r="C1238" s="3" t="s">
        <v>30</v>
      </c>
      <c r="D1238" s="3" t="s">
        <v>30</v>
      </c>
      <c r="E1238" s="3" t="s">
        <v>534</v>
      </c>
      <c r="F1238" s="19"/>
      <c r="G1238" s="28">
        <f>G1239</f>
        <v>9571.7000000000007</v>
      </c>
    </row>
    <row r="1239" spans="1:7" s="24" customFormat="1" ht="30" x14ac:dyDescent="0.2">
      <c r="A1239" s="1" t="s">
        <v>614</v>
      </c>
      <c r="B1239" s="3" t="s">
        <v>314</v>
      </c>
      <c r="C1239" s="3" t="s">
        <v>30</v>
      </c>
      <c r="D1239" s="3" t="s">
        <v>30</v>
      </c>
      <c r="E1239" s="3" t="s">
        <v>608</v>
      </c>
      <c r="F1239" s="19"/>
      <c r="G1239" s="28">
        <f>G1240+G1242</f>
        <v>9571.7000000000007</v>
      </c>
    </row>
    <row r="1240" spans="1:7" s="24" customFormat="1" ht="30" x14ac:dyDescent="0.2">
      <c r="A1240" s="1" t="s">
        <v>613</v>
      </c>
      <c r="B1240" s="3" t="s">
        <v>314</v>
      </c>
      <c r="C1240" s="3" t="s">
        <v>30</v>
      </c>
      <c r="D1240" s="3" t="s">
        <v>30</v>
      </c>
      <c r="E1240" s="3" t="s">
        <v>609</v>
      </c>
      <c r="F1240" s="19"/>
      <c r="G1240" s="28">
        <f>G1241</f>
        <v>7036.3</v>
      </c>
    </row>
    <row r="1241" spans="1:7" s="24" customFormat="1" ht="30" x14ac:dyDescent="0.2">
      <c r="A1241" s="20" t="s">
        <v>112</v>
      </c>
      <c r="B1241" s="3" t="s">
        <v>314</v>
      </c>
      <c r="C1241" s="3" t="s">
        <v>30</v>
      </c>
      <c r="D1241" s="3" t="s">
        <v>30</v>
      </c>
      <c r="E1241" s="3" t="s">
        <v>610</v>
      </c>
      <c r="F1241" s="19" t="s">
        <v>107</v>
      </c>
      <c r="G1241" s="28">
        <f>23.7+1453.4+5559.2</f>
        <v>7036.3</v>
      </c>
    </row>
    <row r="1242" spans="1:7" s="24" customFormat="1" ht="30" x14ac:dyDescent="0.2">
      <c r="A1242" s="1" t="s">
        <v>615</v>
      </c>
      <c r="B1242" s="3" t="s">
        <v>314</v>
      </c>
      <c r="C1242" s="3" t="s">
        <v>30</v>
      </c>
      <c r="D1242" s="3" t="s">
        <v>30</v>
      </c>
      <c r="E1242" s="3" t="s">
        <v>611</v>
      </c>
      <c r="F1242" s="19"/>
      <c r="G1242" s="28">
        <f>G1243</f>
        <v>2535.4</v>
      </c>
    </row>
    <row r="1243" spans="1:7" s="24" customFormat="1" ht="30" x14ac:dyDescent="0.2">
      <c r="A1243" s="20" t="s">
        <v>112</v>
      </c>
      <c r="B1243" s="3" t="s">
        <v>314</v>
      </c>
      <c r="C1243" s="3" t="s">
        <v>30</v>
      </c>
      <c r="D1243" s="3" t="s">
        <v>30</v>
      </c>
      <c r="E1243" s="3" t="s">
        <v>612</v>
      </c>
      <c r="F1243" s="19" t="s">
        <v>107</v>
      </c>
      <c r="G1243" s="28">
        <f>369.4+1485.7+277+403.3</f>
        <v>2535.4</v>
      </c>
    </row>
    <row r="1244" spans="1:7" s="24" customFormat="1" x14ac:dyDescent="0.2">
      <c r="A1244" s="1" t="s">
        <v>34</v>
      </c>
      <c r="B1244" s="3" t="s">
        <v>314</v>
      </c>
      <c r="C1244" s="3" t="s">
        <v>30</v>
      </c>
      <c r="D1244" s="3" t="s">
        <v>17</v>
      </c>
      <c r="E1244" s="3"/>
      <c r="F1244" s="19"/>
      <c r="G1244" s="28">
        <f>G1245</f>
        <v>138918.29999999999</v>
      </c>
    </row>
    <row r="1245" spans="1:7" ht="30" x14ac:dyDescent="0.2">
      <c r="A1245" s="44" t="s">
        <v>537</v>
      </c>
      <c r="B1245" s="3" t="s">
        <v>314</v>
      </c>
      <c r="C1245" s="19" t="s">
        <v>30</v>
      </c>
      <c r="D1245" s="19" t="s">
        <v>17</v>
      </c>
      <c r="E1245" s="19" t="s">
        <v>534</v>
      </c>
      <c r="F1245" s="19"/>
      <c r="G1245" s="28">
        <f>G1246+G1251</f>
        <v>138918.29999999999</v>
      </c>
    </row>
    <row r="1246" spans="1:7" ht="30" x14ac:dyDescent="0.2">
      <c r="A1246" s="1" t="s">
        <v>614</v>
      </c>
      <c r="B1246" s="3" t="s">
        <v>314</v>
      </c>
      <c r="C1246" s="19" t="s">
        <v>30</v>
      </c>
      <c r="D1246" s="19" t="s">
        <v>17</v>
      </c>
      <c r="E1246" s="19" t="s">
        <v>608</v>
      </c>
      <c r="F1246" s="19"/>
      <c r="G1246" s="28">
        <f>G1247+G1249</f>
        <v>138315.29999999999</v>
      </c>
    </row>
    <row r="1247" spans="1:7" ht="30" x14ac:dyDescent="0.2">
      <c r="A1247" s="1" t="s">
        <v>613</v>
      </c>
      <c r="B1247" s="3" t="s">
        <v>314</v>
      </c>
      <c r="C1247" s="19" t="s">
        <v>30</v>
      </c>
      <c r="D1247" s="19" t="s">
        <v>17</v>
      </c>
      <c r="E1247" s="19" t="s">
        <v>609</v>
      </c>
      <c r="F1247" s="19"/>
      <c r="G1247" s="28">
        <f>G1248</f>
        <v>40777.599999999999</v>
      </c>
    </row>
    <row r="1248" spans="1:7" ht="30" x14ac:dyDescent="0.2">
      <c r="A1248" s="20" t="s">
        <v>112</v>
      </c>
      <c r="B1248" s="3" t="s">
        <v>314</v>
      </c>
      <c r="C1248" s="19" t="s">
        <v>30</v>
      </c>
      <c r="D1248" s="19" t="s">
        <v>17</v>
      </c>
      <c r="E1248" s="19" t="s">
        <v>610</v>
      </c>
      <c r="F1248" s="19" t="s">
        <v>107</v>
      </c>
      <c r="G1248" s="28">
        <f>43325-2547.4</f>
        <v>40777.599999999999</v>
      </c>
    </row>
    <row r="1249" spans="1:7" ht="30" x14ac:dyDescent="0.2">
      <c r="A1249" s="1" t="s">
        <v>615</v>
      </c>
      <c r="B1249" s="3" t="s">
        <v>314</v>
      </c>
      <c r="C1249" s="19" t="s">
        <v>30</v>
      </c>
      <c r="D1249" s="19" t="s">
        <v>17</v>
      </c>
      <c r="E1249" s="19" t="s">
        <v>611</v>
      </c>
      <c r="F1249" s="19"/>
      <c r="G1249" s="28">
        <f>G1250</f>
        <v>97537.7</v>
      </c>
    </row>
    <row r="1250" spans="1:7" ht="30" x14ac:dyDescent="0.2">
      <c r="A1250" s="20" t="s">
        <v>112</v>
      </c>
      <c r="B1250" s="3" t="s">
        <v>314</v>
      </c>
      <c r="C1250" s="19" t="s">
        <v>30</v>
      </c>
      <c r="D1250" s="19" t="s">
        <v>17</v>
      </c>
      <c r="E1250" s="19" t="s">
        <v>612</v>
      </c>
      <c r="F1250" s="19" t="s">
        <v>107</v>
      </c>
      <c r="G1250" s="28">
        <f>64987.7-1876.5+1523+32903.5</f>
        <v>97537.7</v>
      </c>
    </row>
    <row r="1251" spans="1:7" ht="45" x14ac:dyDescent="0.2">
      <c r="A1251" s="44" t="s">
        <v>538</v>
      </c>
      <c r="B1251" s="3" t="s">
        <v>314</v>
      </c>
      <c r="C1251" s="19" t="s">
        <v>30</v>
      </c>
      <c r="D1251" s="19" t="s">
        <v>17</v>
      </c>
      <c r="E1251" s="19" t="s">
        <v>540</v>
      </c>
      <c r="F1251" s="19"/>
      <c r="G1251" s="28">
        <f>G1252</f>
        <v>603</v>
      </c>
    </row>
    <row r="1252" spans="1:7" ht="75" x14ac:dyDescent="0.2">
      <c r="A1252" s="44" t="s">
        <v>554</v>
      </c>
      <c r="B1252" s="3" t="s">
        <v>314</v>
      </c>
      <c r="C1252" s="19" t="s">
        <v>30</v>
      </c>
      <c r="D1252" s="19" t="s">
        <v>17</v>
      </c>
      <c r="E1252" s="19" t="s">
        <v>535</v>
      </c>
      <c r="F1252" s="19"/>
      <c r="G1252" s="28">
        <f>G1253</f>
        <v>603</v>
      </c>
    </row>
    <row r="1253" spans="1:7" ht="30" x14ac:dyDescent="0.2">
      <c r="A1253" s="20" t="s">
        <v>539</v>
      </c>
      <c r="B1253" s="3" t="s">
        <v>314</v>
      </c>
      <c r="C1253" s="19" t="s">
        <v>30</v>
      </c>
      <c r="D1253" s="19" t="s">
        <v>17</v>
      </c>
      <c r="E1253" s="19" t="s">
        <v>541</v>
      </c>
      <c r="F1253" s="19"/>
      <c r="G1253" s="28">
        <f>G1254</f>
        <v>603</v>
      </c>
    </row>
    <row r="1254" spans="1:7" ht="30" x14ac:dyDescent="0.2">
      <c r="A1254" s="44" t="s">
        <v>102</v>
      </c>
      <c r="B1254" s="3" t="s">
        <v>314</v>
      </c>
      <c r="C1254" s="19" t="s">
        <v>30</v>
      </c>
      <c r="D1254" s="19" t="s">
        <v>17</v>
      </c>
      <c r="E1254" s="19" t="s">
        <v>541</v>
      </c>
      <c r="F1254" s="19" t="s">
        <v>101</v>
      </c>
      <c r="G1254" s="28">
        <v>603</v>
      </c>
    </row>
    <row r="1255" spans="1:7" s="24" customFormat="1" x14ac:dyDescent="0.2">
      <c r="A1255" s="9" t="s">
        <v>182</v>
      </c>
      <c r="B1255" s="3" t="s">
        <v>314</v>
      </c>
      <c r="C1255" s="3" t="s">
        <v>21</v>
      </c>
      <c r="D1255" s="3"/>
      <c r="E1255" s="3"/>
      <c r="F1255" s="19"/>
      <c r="G1255" s="28">
        <f>G1256</f>
        <v>3627.2999999999997</v>
      </c>
    </row>
    <row r="1256" spans="1:7" s="24" customFormat="1" x14ac:dyDescent="0.2">
      <c r="A1256" s="1" t="s">
        <v>217</v>
      </c>
      <c r="B1256" s="3" t="s">
        <v>314</v>
      </c>
      <c r="C1256" s="3" t="s">
        <v>21</v>
      </c>
      <c r="D1256" s="3" t="s">
        <v>7</v>
      </c>
      <c r="E1256" s="3"/>
      <c r="F1256" s="19"/>
      <c r="G1256" s="28">
        <f>G1257</f>
        <v>3627.2999999999997</v>
      </c>
    </row>
    <row r="1257" spans="1:7" s="24" customFormat="1" ht="30" x14ac:dyDescent="0.2">
      <c r="A1257" s="44" t="s">
        <v>537</v>
      </c>
      <c r="B1257" s="3" t="s">
        <v>314</v>
      </c>
      <c r="C1257" s="3" t="s">
        <v>21</v>
      </c>
      <c r="D1257" s="3" t="s">
        <v>7</v>
      </c>
      <c r="E1257" s="3" t="s">
        <v>534</v>
      </c>
      <c r="F1257" s="19"/>
      <c r="G1257" s="28">
        <f>G1258</f>
        <v>3627.2999999999997</v>
      </c>
    </row>
    <row r="1258" spans="1:7" s="24" customFormat="1" ht="30" x14ac:dyDescent="0.2">
      <c r="A1258" s="1" t="s">
        <v>614</v>
      </c>
      <c r="B1258" s="3" t="s">
        <v>314</v>
      </c>
      <c r="C1258" s="3" t="s">
        <v>21</v>
      </c>
      <c r="D1258" s="3" t="s">
        <v>7</v>
      </c>
      <c r="E1258" s="3" t="s">
        <v>608</v>
      </c>
      <c r="F1258" s="19"/>
      <c r="G1258" s="28">
        <f>G1259+G1261</f>
        <v>3627.2999999999997</v>
      </c>
    </row>
    <row r="1259" spans="1:7" s="24" customFormat="1" ht="30" x14ac:dyDescent="0.2">
      <c r="A1259" s="1" t="s">
        <v>613</v>
      </c>
      <c r="B1259" s="3" t="s">
        <v>314</v>
      </c>
      <c r="C1259" s="3" t="s">
        <v>21</v>
      </c>
      <c r="D1259" s="3" t="s">
        <v>7</v>
      </c>
      <c r="E1259" s="3" t="s">
        <v>609</v>
      </c>
      <c r="F1259" s="19"/>
      <c r="G1259" s="28">
        <f>G1260</f>
        <v>973.1</v>
      </c>
    </row>
    <row r="1260" spans="1:7" s="24" customFormat="1" ht="30" x14ac:dyDescent="0.2">
      <c r="A1260" s="20" t="s">
        <v>112</v>
      </c>
      <c r="B1260" s="3" t="s">
        <v>314</v>
      </c>
      <c r="C1260" s="3" t="s">
        <v>21</v>
      </c>
      <c r="D1260" s="3" t="s">
        <v>7</v>
      </c>
      <c r="E1260" s="3" t="s">
        <v>610</v>
      </c>
      <c r="F1260" s="19" t="s">
        <v>107</v>
      </c>
      <c r="G1260" s="28">
        <f>84.7+888.4</f>
        <v>973.1</v>
      </c>
    </row>
    <row r="1261" spans="1:7" s="24" customFormat="1" ht="30" x14ac:dyDescent="0.2">
      <c r="A1261" s="1" t="s">
        <v>615</v>
      </c>
      <c r="B1261" s="3" t="s">
        <v>314</v>
      </c>
      <c r="C1261" s="3" t="s">
        <v>21</v>
      </c>
      <c r="D1261" s="3" t="s">
        <v>7</v>
      </c>
      <c r="E1261" s="3" t="s">
        <v>611</v>
      </c>
      <c r="F1261" s="19"/>
      <c r="G1261" s="28">
        <f>G1262</f>
        <v>2654.2</v>
      </c>
    </row>
    <row r="1262" spans="1:7" s="24" customFormat="1" ht="30" x14ac:dyDescent="0.2">
      <c r="A1262" s="20" t="s">
        <v>112</v>
      </c>
      <c r="B1262" s="3" t="s">
        <v>314</v>
      </c>
      <c r="C1262" s="3" t="s">
        <v>21</v>
      </c>
      <c r="D1262" s="3" t="s">
        <v>7</v>
      </c>
      <c r="E1262" s="3" t="s">
        <v>612</v>
      </c>
      <c r="F1262" s="19" t="s">
        <v>107</v>
      </c>
      <c r="G1262" s="28">
        <f>2033.3+135.9+485</f>
        <v>2654.2</v>
      </c>
    </row>
    <row r="1263" spans="1:7" s="24" customFormat="1" x14ac:dyDescent="0.2">
      <c r="A1263" s="1" t="s">
        <v>28</v>
      </c>
      <c r="B1263" s="3" t="s">
        <v>314</v>
      </c>
      <c r="C1263" s="3" t="s">
        <v>47</v>
      </c>
      <c r="D1263" s="3"/>
      <c r="E1263" s="3"/>
      <c r="F1263" s="19"/>
      <c r="G1263" s="28">
        <f>G1264</f>
        <v>723.59999999999991</v>
      </c>
    </row>
    <row r="1264" spans="1:7" s="24" customFormat="1" x14ac:dyDescent="0.2">
      <c r="A1264" s="1" t="s">
        <v>53</v>
      </c>
      <c r="B1264" s="3" t="s">
        <v>314</v>
      </c>
      <c r="C1264" s="3" t="s">
        <v>47</v>
      </c>
      <c r="D1264" s="3" t="s">
        <v>6</v>
      </c>
      <c r="E1264" s="3"/>
      <c r="F1264" s="19"/>
      <c r="G1264" s="28">
        <f>G1265</f>
        <v>723.59999999999991</v>
      </c>
    </row>
    <row r="1265" spans="1:7" s="24" customFormat="1" ht="30" x14ac:dyDescent="0.2">
      <c r="A1265" s="44" t="s">
        <v>537</v>
      </c>
      <c r="B1265" s="3" t="s">
        <v>314</v>
      </c>
      <c r="C1265" s="3" t="s">
        <v>47</v>
      </c>
      <c r="D1265" s="3" t="s">
        <v>6</v>
      </c>
      <c r="E1265" s="3" t="s">
        <v>534</v>
      </c>
      <c r="F1265" s="19"/>
      <c r="G1265" s="28">
        <f>G1266</f>
        <v>723.59999999999991</v>
      </c>
    </row>
    <row r="1266" spans="1:7" s="24" customFormat="1" ht="30" x14ac:dyDescent="0.2">
      <c r="A1266" s="1" t="s">
        <v>614</v>
      </c>
      <c r="B1266" s="3" t="s">
        <v>314</v>
      </c>
      <c r="C1266" s="3" t="s">
        <v>47</v>
      </c>
      <c r="D1266" s="3" t="s">
        <v>6</v>
      </c>
      <c r="E1266" s="3" t="s">
        <v>608</v>
      </c>
      <c r="F1266" s="19"/>
      <c r="G1266" s="28">
        <f>G1267+G1269</f>
        <v>723.59999999999991</v>
      </c>
    </row>
    <row r="1267" spans="1:7" s="24" customFormat="1" ht="30" x14ac:dyDescent="0.2">
      <c r="A1267" s="1" t="s">
        <v>613</v>
      </c>
      <c r="B1267" s="3" t="s">
        <v>314</v>
      </c>
      <c r="C1267" s="3" t="s">
        <v>47</v>
      </c>
      <c r="D1267" s="3" t="s">
        <v>6</v>
      </c>
      <c r="E1267" s="3" t="s">
        <v>609</v>
      </c>
      <c r="F1267" s="19"/>
      <c r="G1267" s="28">
        <f>G1268</f>
        <v>550.79999999999995</v>
      </c>
    </row>
    <row r="1268" spans="1:7" s="24" customFormat="1" ht="30" x14ac:dyDescent="0.2">
      <c r="A1268" s="20" t="s">
        <v>112</v>
      </c>
      <c r="B1268" s="3" t="s">
        <v>314</v>
      </c>
      <c r="C1268" s="3" t="s">
        <v>47</v>
      </c>
      <c r="D1268" s="3" t="s">
        <v>6</v>
      </c>
      <c r="E1268" s="3" t="s">
        <v>610</v>
      </c>
      <c r="F1268" s="19" t="s">
        <v>107</v>
      </c>
      <c r="G1268" s="28">
        <f>54.6+496.2</f>
        <v>550.79999999999995</v>
      </c>
    </row>
    <row r="1269" spans="1:7" s="24" customFormat="1" ht="30" x14ac:dyDescent="0.2">
      <c r="A1269" s="1" t="s">
        <v>615</v>
      </c>
      <c r="B1269" s="3" t="s">
        <v>314</v>
      </c>
      <c r="C1269" s="3" t="s">
        <v>47</v>
      </c>
      <c r="D1269" s="3" t="s">
        <v>6</v>
      </c>
      <c r="E1269" s="3" t="s">
        <v>611</v>
      </c>
      <c r="F1269" s="19"/>
      <c r="G1269" s="28">
        <f>G1270</f>
        <v>172.8</v>
      </c>
    </row>
    <row r="1270" spans="1:7" s="24" customFormat="1" ht="30" x14ac:dyDescent="0.2">
      <c r="A1270" s="20" t="s">
        <v>112</v>
      </c>
      <c r="B1270" s="3" t="s">
        <v>314</v>
      </c>
      <c r="C1270" s="3" t="s">
        <v>47</v>
      </c>
      <c r="D1270" s="3" t="s">
        <v>6</v>
      </c>
      <c r="E1270" s="3" t="s">
        <v>612</v>
      </c>
      <c r="F1270" s="19" t="s">
        <v>107</v>
      </c>
      <c r="G1270" s="28">
        <f>208.5-35.7</f>
        <v>172.8</v>
      </c>
    </row>
    <row r="1271" spans="1:7" s="24" customFormat="1" x14ac:dyDescent="0.2">
      <c r="A1271" s="44"/>
      <c r="B1271" s="3"/>
      <c r="C1271" s="3"/>
      <c r="D1271" s="3"/>
      <c r="E1271" s="3"/>
      <c r="F1271" s="3"/>
      <c r="G1271" s="31"/>
    </row>
    <row r="1272" spans="1:7" s="24" customFormat="1" ht="42.75" x14ac:dyDescent="0.2">
      <c r="A1272" s="6" t="s">
        <v>88</v>
      </c>
      <c r="B1272" s="7" t="s">
        <v>315</v>
      </c>
      <c r="C1272" s="7"/>
      <c r="D1272" s="7"/>
      <c r="E1272" s="16"/>
      <c r="F1272" s="16"/>
      <c r="G1272" s="33">
        <f>G1273</f>
        <v>26036.899999999998</v>
      </c>
    </row>
    <row r="1273" spans="1:7" s="24" customFormat="1" x14ac:dyDescent="0.2">
      <c r="A1273" s="1" t="s">
        <v>5</v>
      </c>
      <c r="B1273" s="3" t="s">
        <v>315</v>
      </c>
      <c r="C1273" s="3" t="s">
        <v>6</v>
      </c>
      <c r="D1273" s="3"/>
      <c r="E1273" s="3"/>
      <c r="F1273" s="3"/>
      <c r="G1273" s="8">
        <f>G1274+G1281</f>
        <v>26036.899999999998</v>
      </c>
    </row>
    <row r="1274" spans="1:7" s="24" customFormat="1" ht="45" x14ac:dyDescent="0.2">
      <c r="A1274" s="9" t="s">
        <v>26</v>
      </c>
      <c r="B1274" s="3" t="s">
        <v>315</v>
      </c>
      <c r="C1274" s="10" t="s">
        <v>6</v>
      </c>
      <c r="D1274" s="10" t="s">
        <v>7</v>
      </c>
      <c r="E1274" s="11"/>
      <c r="F1274" s="10"/>
      <c r="G1274" s="31">
        <f>G1275</f>
        <v>18086.899999999998</v>
      </c>
    </row>
    <row r="1275" spans="1:7" s="24" customFormat="1" ht="30" x14ac:dyDescent="0.2">
      <c r="A1275" s="44" t="s">
        <v>622</v>
      </c>
      <c r="B1275" s="3" t="s">
        <v>315</v>
      </c>
      <c r="C1275" s="10" t="s">
        <v>6</v>
      </c>
      <c r="D1275" s="10" t="s">
        <v>7</v>
      </c>
      <c r="E1275" s="11" t="s">
        <v>617</v>
      </c>
      <c r="F1275" s="10"/>
      <c r="G1275" s="31">
        <f>G1276</f>
        <v>18086.899999999998</v>
      </c>
    </row>
    <row r="1276" spans="1:7" s="24" customFormat="1" ht="30" x14ac:dyDescent="0.2">
      <c r="A1276" s="44" t="s">
        <v>406</v>
      </c>
      <c r="B1276" s="3" t="s">
        <v>315</v>
      </c>
      <c r="C1276" s="10" t="s">
        <v>6</v>
      </c>
      <c r="D1276" s="10" t="s">
        <v>7</v>
      </c>
      <c r="E1276" s="11" t="s">
        <v>618</v>
      </c>
      <c r="F1276" s="10"/>
      <c r="G1276" s="31">
        <f>G1277</f>
        <v>18086.899999999998</v>
      </c>
    </row>
    <row r="1277" spans="1:7" s="24" customFormat="1" x14ac:dyDescent="0.2">
      <c r="A1277" s="44" t="s">
        <v>8</v>
      </c>
      <c r="B1277" s="3" t="s">
        <v>315</v>
      </c>
      <c r="C1277" s="10" t="s">
        <v>6</v>
      </c>
      <c r="D1277" s="10" t="s">
        <v>7</v>
      </c>
      <c r="E1277" s="11" t="s">
        <v>616</v>
      </c>
      <c r="F1277" s="10"/>
      <c r="G1277" s="31">
        <f>SUM(G1278:G1280)</f>
        <v>18086.899999999998</v>
      </c>
    </row>
    <row r="1278" spans="1:7" s="24" customFormat="1" ht="60" x14ac:dyDescent="0.2">
      <c r="A1278" s="44" t="s">
        <v>108</v>
      </c>
      <c r="B1278" s="3" t="s">
        <v>315</v>
      </c>
      <c r="C1278" s="10" t="s">
        <v>6</v>
      </c>
      <c r="D1278" s="10" t="s">
        <v>7</v>
      </c>
      <c r="E1278" s="55" t="s">
        <v>616</v>
      </c>
      <c r="F1278" s="3" t="s">
        <v>103</v>
      </c>
      <c r="G1278" s="47">
        <f>12736.8+1258.4+1970.4+93.6</f>
        <v>16059.199999999999</v>
      </c>
    </row>
    <row r="1279" spans="1:7" s="24" customFormat="1" ht="30" x14ac:dyDescent="0.2">
      <c r="A1279" s="44" t="s">
        <v>102</v>
      </c>
      <c r="B1279" s="3" t="s">
        <v>315</v>
      </c>
      <c r="C1279" s="10" t="s">
        <v>6</v>
      </c>
      <c r="D1279" s="10" t="s">
        <v>7</v>
      </c>
      <c r="E1279" s="55" t="s">
        <v>616</v>
      </c>
      <c r="F1279" s="19" t="s">
        <v>101</v>
      </c>
      <c r="G1279" s="47">
        <f>2021.9+4.3</f>
        <v>2026.2</v>
      </c>
    </row>
    <row r="1280" spans="1:7" s="24" customFormat="1" x14ac:dyDescent="0.2">
      <c r="A1280" s="44" t="s">
        <v>109</v>
      </c>
      <c r="B1280" s="3" t="s">
        <v>315</v>
      </c>
      <c r="C1280" s="10" t="s">
        <v>6</v>
      </c>
      <c r="D1280" s="10" t="s">
        <v>7</v>
      </c>
      <c r="E1280" s="55" t="s">
        <v>616</v>
      </c>
      <c r="F1280" s="19" t="s">
        <v>104</v>
      </c>
      <c r="G1280" s="47">
        <v>1.5</v>
      </c>
    </row>
    <row r="1281" spans="1:7" s="24" customFormat="1" x14ac:dyDescent="0.2">
      <c r="A1281" s="1" t="s">
        <v>42</v>
      </c>
      <c r="B1281" s="3" t="s">
        <v>315</v>
      </c>
      <c r="C1281" s="3" t="s">
        <v>6</v>
      </c>
      <c r="D1281" s="3" t="s">
        <v>50</v>
      </c>
      <c r="E1281" s="3"/>
      <c r="F1281" s="3"/>
      <c r="G1281" s="8">
        <f>G1282</f>
        <v>7950</v>
      </c>
    </row>
    <row r="1282" spans="1:7" s="24" customFormat="1" ht="30" x14ac:dyDescent="0.2">
      <c r="A1282" s="44" t="s">
        <v>622</v>
      </c>
      <c r="B1282" s="3" t="s">
        <v>315</v>
      </c>
      <c r="C1282" s="3" t="s">
        <v>6</v>
      </c>
      <c r="D1282" s="3" t="s">
        <v>50</v>
      </c>
      <c r="E1282" s="55" t="s">
        <v>617</v>
      </c>
      <c r="F1282" s="19"/>
      <c r="G1282" s="47">
        <f>G1283+G1286</f>
        <v>7950</v>
      </c>
    </row>
    <row r="1283" spans="1:7" s="24" customFormat="1" ht="30" x14ac:dyDescent="0.2">
      <c r="A1283" s="44" t="s">
        <v>406</v>
      </c>
      <c r="B1283" s="3" t="s">
        <v>315</v>
      </c>
      <c r="C1283" s="3" t="s">
        <v>6</v>
      </c>
      <c r="D1283" s="3" t="s">
        <v>50</v>
      </c>
      <c r="E1283" s="55" t="s">
        <v>618</v>
      </c>
      <c r="F1283" s="19"/>
      <c r="G1283" s="47">
        <f>G1284</f>
        <v>0.5</v>
      </c>
    </row>
    <row r="1284" spans="1:7" x14ac:dyDescent="0.2">
      <c r="A1284" s="20" t="s">
        <v>94</v>
      </c>
      <c r="B1284" s="3" t="s">
        <v>315</v>
      </c>
      <c r="C1284" s="3" t="s">
        <v>6</v>
      </c>
      <c r="D1284" s="3" t="s">
        <v>50</v>
      </c>
      <c r="E1284" s="55" t="s">
        <v>619</v>
      </c>
      <c r="F1284" s="19"/>
      <c r="G1284" s="47">
        <f>G1285</f>
        <v>0.5</v>
      </c>
    </row>
    <row r="1285" spans="1:7" x14ac:dyDescent="0.2">
      <c r="A1285" s="44" t="s">
        <v>109</v>
      </c>
      <c r="B1285" s="3" t="s">
        <v>315</v>
      </c>
      <c r="C1285" s="3" t="s">
        <v>6</v>
      </c>
      <c r="D1285" s="3" t="s">
        <v>50</v>
      </c>
      <c r="E1285" s="55" t="s">
        <v>619</v>
      </c>
      <c r="F1285" s="19" t="s">
        <v>104</v>
      </c>
      <c r="G1285" s="47">
        <v>0.5</v>
      </c>
    </row>
    <row r="1286" spans="1:7" ht="45" x14ac:dyDescent="0.2">
      <c r="A1286" s="44" t="s">
        <v>623</v>
      </c>
      <c r="B1286" s="3" t="s">
        <v>315</v>
      </c>
      <c r="C1286" s="3" t="s">
        <v>6</v>
      </c>
      <c r="D1286" s="3" t="s">
        <v>50</v>
      </c>
      <c r="E1286" s="55" t="s">
        <v>620</v>
      </c>
      <c r="F1286" s="19"/>
      <c r="G1286" s="47">
        <f>G1287</f>
        <v>7949.5</v>
      </c>
    </row>
    <row r="1287" spans="1:7" ht="30" x14ac:dyDescent="0.2">
      <c r="A1287" s="44" t="s">
        <v>624</v>
      </c>
      <c r="B1287" s="3" t="s">
        <v>315</v>
      </c>
      <c r="C1287" s="3" t="s">
        <v>6</v>
      </c>
      <c r="D1287" s="3" t="s">
        <v>50</v>
      </c>
      <c r="E1287" s="55" t="s">
        <v>621</v>
      </c>
      <c r="F1287" s="19"/>
      <c r="G1287" s="47">
        <f>G1288</f>
        <v>7949.5</v>
      </c>
    </row>
    <row r="1288" spans="1:7" ht="30" x14ac:dyDescent="0.2">
      <c r="A1288" s="44" t="s">
        <v>102</v>
      </c>
      <c r="B1288" s="3" t="s">
        <v>315</v>
      </c>
      <c r="C1288" s="3" t="s">
        <v>6</v>
      </c>
      <c r="D1288" s="3" t="s">
        <v>50</v>
      </c>
      <c r="E1288" s="55" t="s">
        <v>621</v>
      </c>
      <c r="F1288" s="19" t="s">
        <v>101</v>
      </c>
      <c r="G1288" s="47">
        <v>7949.5</v>
      </c>
    </row>
    <row r="1289" spans="1:7" x14ac:dyDescent="0.2">
      <c r="A1289" s="44"/>
      <c r="B1289" s="3"/>
      <c r="C1289" s="3"/>
      <c r="D1289" s="3"/>
      <c r="E1289" s="3"/>
      <c r="F1289" s="3"/>
      <c r="G1289" s="31"/>
    </row>
    <row r="1290" spans="1:7" s="24" customFormat="1" ht="42.75" x14ac:dyDescent="0.2">
      <c r="A1290" s="6" t="s">
        <v>90</v>
      </c>
      <c r="B1290" s="7" t="s">
        <v>316</v>
      </c>
      <c r="C1290" s="7"/>
      <c r="D1290" s="7"/>
      <c r="E1290" s="16"/>
      <c r="F1290" s="16"/>
      <c r="G1290" s="33">
        <f>G1291+G1303</f>
        <v>47429.799999999996</v>
      </c>
    </row>
    <row r="1291" spans="1:7" s="24" customFormat="1" x14ac:dyDescent="0.2">
      <c r="A1291" s="1" t="s">
        <v>5</v>
      </c>
      <c r="B1291" s="3" t="s">
        <v>316</v>
      </c>
      <c r="C1291" s="3" t="s">
        <v>6</v>
      </c>
      <c r="D1291" s="3"/>
      <c r="E1291" s="3"/>
      <c r="F1291" s="3"/>
      <c r="G1291" s="8">
        <f>G1292+G1298</f>
        <v>20968.699999999997</v>
      </c>
    </row>
    <row r="1292" spans="1:7" s="24" customFormat="1" ht="45" x14ac:dyDescent="0.2">
      <c r="A1292" s="9" t="s">
        <v>26</v>
      </c>
      <c r="B1292" s="3" t="s">
        <v>316</v>
      </c>
      <c r="C1292" s="10" t="s">
        <v>6</v>
      </c>
      <c r="D1292" s="10" t="s">
        <v>7</v>
      </c>
      <c r="E1292" s="11"/>
      <c r="F1292" s="10"/>
      <c r="G1292" s="31">
        <f>G1293</f>
        <v>19331.199999999997</v>
      </c>
    </row>
    <row r="1293" spans="1:7" s="24" customFormat="1" ht="30" x14ac:dyDescent="0.2">
      <c r="A1293" s="1" t="s">
        <v>127</v>
      </c>
      <c r="B1293" s="3" t="s">
        <v>316</v>
      </c>
      <c r="C1293" s="10" t="s">
        <v>6</v>
      </c>
      <c r="D1293" s="10" t="s">
        <v>7</v>
      </c>
      <c r="E1293" s="3" t="s">
        <v>128</v>
      </c>
      <c r="F1293" s="19"/>
      <c r="G1293" s="47">
        <f>G1294</f>
        <v>19331.199999999997</v>
      </c>
    </row>
    <row r="1294" spans="1:7" s="24" customFormat="1" ht="30" x14ac:dyDescent="0.2">
      <c r="A1294" s="44" t="s">
        <v>406</v>
      </c>
      <c r="B1294" s="3" t="s">
        <v>316</v>
      </c>
      <c r="C1294" s="19" t="s">
        <v>6</v>
      </c>
      <c r="D1294" s="19" t="s">
        <v>7</v>
      </c>
      <c r="E1294" s="3" t="s">
        <v>409</v>
      </c>
      <c r="F1294" s="19"/>
      <c r="G1294" s="47">
        <f>G1295</f>
        <v>19331.199999999997</v>
      </c>
    </row>
    <row r="1295" spans="1:7" s="24" customFormat="1" x14ac:dyDescent="0.2">
      <c r="A1295" s="44" t="s">
        <v>8</v>
      </c>
      <c r="B1295" s="3" t="s">
        <v>316</v>
      </c>
      <c r="C1295" s="19" t="s">
        <v>6</v>
      </c>
      <c r="D1295" s="19" t="s">
        <v>7</v>
      </c>
      <c r="E1295" s="3" t="s">
        <v>410</v>
      </c>
      <c r="F1295" s="19"/>
      <c r="G1295" s="47">
        <f>SUM(G1296:G1297)</f>
        <v>19331.199999999997</v>
      </c>
    </row>
    <row r="1296" spans="1:7" s="24" customFormat="1" ht="60" x14ac:dyDescent="0.2">
      <c r="A1296" s="44" t="s">
        <v>108</v>
      </c>
      <c r="B1296" s="3" t="s">
        <v>316</v>
      </c>
      <c r="C1296" s="19" t="s">
        <v>6</v>
      </c>
      <c r="D1296" s="19" t="s">
        <v>7</v>
      </c>
      <c r="E1296" s="3" t="s">
        <v>410</v>
      </c>
      <c r="F1296" s="19" t="s">
        <v>103</v>
      </c>
      <c r="G1296" s="47">
        <f>12759.9+1278+2107+1320.7</f>
        <v>17465.599999999999</v>
      </c>
    </row>
    <row r="1297" spans="1:7" s="24" customFormat="1" ht="30" x14ac:dyDescent="0.2">
      <c r="A1297" s="44" t="s">
        <v>102</v>
      </c>
      <c r="B1297" s="3" t="s">
        <v>316</v>
      </c>
      <c r="C1297" s="19" t="s">
        <v>6</v>
      </c>
      <c r="D1297" s="19" t="s">
        <v>7</v>
      </c>
      <c r="E1297" s="3" t="s">
        <v>410</v>
      </c>
      <c r="F1297" s="19" t="s">
        <v>101</v>
      </c>
      <c r="G1297" s="47">
        <v>1865.6</v>
      </c>
    </row>
    <row r="1298" spans="1:7" s="24" customFormat="1" x14ac:dyDescent="0.2">
      <c r="A1298" s="1" t="s">
        <v>42</v>
      </c>
      <c r="B1298" s="3" t="s">
        <v>316</v>
      </c>
      <c r="C1298" s="19" t="s">
        <v>6</v>
      </c>
      <c r="D1298" s="19" t="s">
        <v>50</v>
      </c>
      <c r="E1298" s="3"/>
      <c r="F1298" s="19"/>
      <c r="G1298" s="47">
        <f>G1299</f>
        <v>1637.5</v>
      </c>
    </row>
    <row r="1299" spans="1:7" s="24" customFormat="1" x14ac:dyDescent="0.2">
      <c r="A1299" s="20" t="s">
        <v>115</v>
      </c>
      <c r="B1299" s="3" t="s">
        <v>316</v>
      </c>
      <c r="C1299" s="3" t="s">
        <v>6</v>
      </c>
      <c r="D1299" s="3" t="s">
        <v>50</v>
      </c>
      <c r="E1299" s="55" t="s">
        <v>122</v>
      </c>
      <c r="F1299" s="55"/>
      <c r="G1299" s="47">
        <f>G1300</f>
        <v>1637.5</v>
      </c>
    </row>
    <row r="1300" spans="1:7" s="24" customFormat="1" ht="30" x14ac:dyDescent="0.2">
      <c r="A1300" s="45" t="s">
        <v>100</v>
      </c>
      <c r="B1300" s="3" t="s">
        <v>316</v>
      </c>
      <c r="C1300" s="3" t="s">
        <v>6</v>
      </c>
      <c r="D1300" s="3" t="s">
        <v>50</v>
      </c>
      <c r="E1300" s="19" t="s">
        <v>126</v>
      </c>
      <c r="F1300" s="55"/>
      <c r="G1300" s="47">
        <f>G1301</f>
        <v>1637.5</v>
      </c>
    </row>
    <row r="1301" spans="1:7" s="24" customFormat="1" x14ac:dyDescent="0.2">
      <c r="A1301" s="44" t="s">
        <v>442</v>
      </c>
      <c r="B1301" s="3" t="s">
        <v>316</v>
      </c>
      <c r="C1301" s="3" t="s">
        <v>6</v>
      </c>
      <c r="D1301" s="3" t="s">
        <v>50</v>
      </c>
      <c r="E1301" s="19" t="s">
        <v>125</v>
      </c>
      <c r="F1301" s="19"/>
      <c r="G1301" s="47">
        <f>G1302</f>
        <v>1637.5</v>
      </c>
    </row>
    <row r="1302" spans="1:7" s="24" customFormat="1" x14ac:dyDescent="0.2">
      <c r="A1302" s="44" t="s">
        <v>109</v>
      </c>
      <c r="B1302" s="3" t="s">
        <v>316</v>
      </c>
      <c r="C1302" s="3" t="s">
        <v>6</v>
      </c>
      <c r="D1302" s="3" t="s">
        <v>50</v>
      </c>
      <c r="E1302" s="19" t="s">
        <v>125</v>
      </c>
      <c r="F1302" s="19" t="s">
        <v>104</v>
      </c>
      <c r="G1302" s="47">
        <v>1637.5</v>
      </c>
    </row>
    <row r="1303" spans="1:7" s="24" customFormat="1" x14ac:dyDescent="0.2">
      <c r="A1303" s="1" t="s">
        <v>22</v>
      </c>
      <c r="B1303" s="3" t="s">
        <v>316</v>
      </c>
      <c r="C1303" s="3" t="s">
        <v>9</v>
      </c>
      <c r="D1303" s="3"/>
      <c r="E1303" s="3"/>
      <c r="F1303" s="3"/>
      <c r="G1303" s="32">
        <f>G1304</f>
        <v>26461.1</v>
      </c>
    </row>
    <row r="1304" spans="1:7" s="24" customFormat="1" x14ac:dyDescent="0.2">
      <c r="A1304" s="9" t="s">
        <v>43</v>
      </c>
      <c r="B1304" s="3" t="s">
        <v>316</v>
      </c>
      <c r="C1304" s="10" t="s">
        <v>9</v>
      </c>
      <c r="D1304" s="10" t="s">
        <v>15</v>
      </c>
      <c r="E1304" s="3"/>
      <c r="F1304" s="10"/>
      <c r="G1304" s="32">
        <f>G1305</f>
        <v>26461.1</v>
      </c>
    </row>
    <row r="1305" spans="1:7" s="24" customFormat="1" ht="30" x14ac:dyDescent="0.2">
      <c r="A1305" s="1" t="s">
        <v>127</v>
      </c>
      <c r="B1305" s="3" t="s">
        <v>316</v>
      </c>
      <c r="C1305" s="10" t="s">
        <v>9</v>
      </c>
      <c r="D1305" s="10" t="s">
        <v>15</v>
      </c>
      <c r="E1305" s="3" t="s">
        <v>128</v>
      </c>
      <c r="F1305" s="7"/>
      <c r="G1305" s="32">
        <f>G1306</f>
        <v>26461.1</v>
      </c>
    </row>
    <row r="1306" spans="1:7" s="24" customFormat="1" ht="30" x14ac:dyDescent="0.2">
      <c r="A1306" s="1" t="s">
        <v>331</v>
      </c>
      <c r="B1306" s="3" t="s">
        <v>316</v>
      </c>
      <c r="C1306" s="10" t="s">
        <v>9</v>
      </c>
      <c r="D1306" s="10" t="s">
        <v>15</v>
      </c>
      <c r="E1306" s="3" t="s">
        <v>129</v>
      </c>
      <c r="F1306" s="7"/>
      <c r="G1306" s="32">
        <f>G1307+G1309</f>
        <v>26461.1</v>
      </c>
    </row>
    <row r="1307" spans="1:7" s="24" customFormat="1" x14ac:dyDescent="0.2">
      <c r="A1307" s="18" t="s">
        <v>404</v>
      </c>
      <c r="B1307" s="3" t="s">
        <v>316</v>
      </c>
      <c r="C1307" s="23" t="s">
        <v>9</v>
      </c>
      <c r="D1307" s="23" t="s">
        <v>15</v>
      </c>
      <c r="E1307" s="3" t="s">
        <v>405</v>
      </c>
      <c r="F1307" s="10"/>
      <c r="G1307" s="32">
        <f>G1308</f>
        <v>21104.6</v>
      </c>
    </row>
    <row r="1308" spans="1:7" s="24" customFormat="1" ht="30" x14ac:dyDescent="0.2">
      <c r="A1308" s="44" t="s">
        <v>102</v>
      </c>
      <c r="B1308" s="3" t="s">
        <v>316</v>
      </c>
      <c r="C1308" s="10" t="s">
        <v>9</v>
      </c>
      <c r="D1308" s="10" t="s">
        <v>15</v>
      </c>
      <c r="E1308" s="3" t="s">
        <v>405</v>
      </c>
      <c r="F1308" s="10" t="s">
        <v>101</v>
      </c>
      <c r="G1308" s="32">
        <v>21104.6</v>
      </c>
    </row>
    <row r="1309" spans="1:7" s="24" customFormat="1" ht="30" x14ac:dyDescent="0.2">
      <c r="A1309" s="9" t="s">
        <v>329</v>
      </c>
      <c r="B1309" s="3" t="s">
        <v>316</v>
      </c>
      <c r="C1309" s="23" t="s">
        <v>9</v>
      </c>
      <c r="D1309" s="23" t="s">
        <v>15</v>
      </c>
      <c r="E1309" s="3" t="s">
        <v>330</v>
      </c>
      <c r="F1309" s="10"/>
      <c r="G1309" s="32">
        <f>G1310</f>
        <v>5356.5</v>
      </c>
    </row>
    <row r="1310" spans="1:7" s="24" customFormat="1" ht="30" x14ac:dyDescent="0.2">
      <c r="A1310" s="44" t="s">
        <v>102</v>
      </c>
      <c r="B1310" s="3" t="s">
        <v>316</v>
      </c>
      <c r="C1310" s="10" t="s">
        <v>9</v>
      </c>
      <c r="D1310" s="10" t="s">
        <v>15</v>
      </c>
      <c r="E1310" s="3" t="s">
        <v>330</v>
      </c>
      <c r="F1310" s="10" t="s">
        <v>101</v>
      </c>
      <c r="G1310" s="32">
        <v>5356.5</v>
      </c>
    </row>
    <row r="1311" spans="1:7" s="24" customFormat="1" x14ac:dyDescent="0.2">
      <c r="A1311" s="44"/>
      <c r="B1311" s="3"/>
      <c r="C1311" s="3"/>
      <c r="D1311" s="3"/>
      <c r="E1311" s="55"/>
      <c r="F1311" s="19"/>
      <c r="G1311" s="47"/>
    </row>
    <row r="1312" spans="1:7" ht="57" x14ac:dyDescent="0.2">
      <c r="A1312" s="6" t="s">
        <v>89</v>
      </c>
      <c r="B1312" s="12" t="s">
        <v>317</v>
      </c>
      <c r="C1312" s="3"/>
      <c r="D1312" s="3"/>
      <c r="E1312" s="3"/>
      <c r="F1312" s="3"/>
      <c r="G1312" s="82">
        <f>G1313+G1323</f>
        <v>78812.2</v>
      </c>
    </row>
    <row r="1313" spans="1:7" s="38" customFormat="1" ht="18.75" x14ac:dyDescent="0.2">
      <c r="A1313" s="1" t="s">
        <v>5</v>
      </c>
      <c r="B1313" s="3" t="s">
        <v>317</v>
      </c>
      <c r="C1313" s="3" t="s">
        <v>6</v>
      </c>
      <c r="D1313" s="3"/>
      <c r="E1313" s="3"/>
      <c r="F1313" s="3"/>
      <c r="G1313" s="8">
        <f>G1314</f>
        <v>52910.400000000001</v>
      </c>
    </row>
    <row r="1314" spans="1:7" x14ac:dyDescent="0.2">
      <c r="A1314" s="1" t="s">
        <v>42</v>
      </c>
      <c r="B1314" s="3" t="s">
        <v>317</v>
      </c>
      <c r="C1314" s="3" t="s">
        <v>6</v>
      </c>
      <c r="D1314" s="3" t="s">
        <v>50</v>
      </c>
      <c r="E1314" s="3"/>
      <c r="F1314" s="3"/>
      <c r="G1314" s="8">
        <f>G1315</f>
        <v>52910.400000000001</v>
      </c>
    </row>
    <row r="1315" spans="1:7" ht="45" x14ac:dyDescent="0.2">
      <c r="A1315" s="44" t="s">
        <v>456</v>
      </c>
      <c r="B1315" s="3" t="s">
        <v>317</v>
      </c>
      <c r="C1315" s="3" t="s">
        <v>6</v>
      </c>
      <c r="D1315" s="3" t="s">
        <v>50</v>
      </c>
      <c r="E1315" s="3" t="s">
        <v>455</v>
      </c>
      <c r="F1315" s="3"/>
      <c r="G1315" s="8">
        <f>G1316</f>
        <v>52910.400000000001</v>
      </c>
    </row>
    <row r="1316" spans="1:7" ht="30" x14ac:dyDescent="0.2">
      <c r="A1316" s="44" t="s">
        <v>406</v>
      </c>
      <c r="B1316" s="3" t="s">
        <v>317</v>
      </c>
      <c r="C1316" s="19" t="s">
        <v>6</v>
      </c>
      <c r="D1316" s="19" t="s">
        <v>50</v>
      </c>
      <c r="E1316" s="3" t="s">
        <v>451</v>
      </c>
      <c r="F1316" s="19"/>
      <c r="G1316" s="47">
        <f>G1317+G1319</f>
        <v>52910.400000000001</v>
      </c>
    </row>
    <row r="1317" spans="1:7" x14ac:dyDescent="0.2">
      <c r="A1317" s="44" t="s">
        <v>94</v>
      </c>
      <c r="B1317" s="3" t="s">
        <v>317</v>
      </c>
      <c r="C1317" s="19" t="s">
        <v>6</v>
      </c>
      <c r="D1317" s="19" t="s">
        <v>50</v>
      </c>
      <c r="E1317" s="3" t="s">
        <v>452</v>
      </c>
      <c r="F1317" s="19"/>
      <c r="G1317" s="47">
        <f>G1318</f>
        <v>8</v>
      </c>
    </row>
    <row r="1318" spans="1:7" x14ac:dyDescent="0.2">
      <c r="A1318" s="44" t="s">
        <v>109</v>
      </c>
      <c r="B1318" s="3" t="s">
        <v>317</v>
      </c>
      <c r="C1318" s="19" t="s">
        <v>6</v>
      </c>
      <c r="D1318" s="19" t="s">
        <v>50</v>
      </c>
      <c r="E1318" s="3" t="s">
        <v>452</v>
      </c>
      <c r="F1318" s="19" t="s">
        <v>104</v>
      </c>
      <c r="G1318" s="47">
        <v>8</v>
      </c>
    </row>
    <row r="1319" spans="1:7" ht="30" x14ac:dyDescent="0.2">
      <c r="A1319" s="44" t="s">
        <v>450</v>
      </c>
      <c r="B1319" s="3" t="s">
        <v>317</v>
      </c>
      <c r="C1319" s="19" t="s">
        <v>6</v>
      </c>
      <c r="D1319" s="19" t="s">
        <v>50</v>
      </c>
      <c r="E1319" s="3" t="s">
        <v>453</v>
      </c>
      <c r="F1319" s="19"/>
      <c r="G1319" s="47">
        <f>SUM(G1320:G1322)</f>
        <v>52902.400000000001</v>
      </c>
    </row>
    <row r="1320" spans="1:7" ht="60" x14ac:dyDescent="0.2">
      <c r="A1320" s="44" t="s">
        <v>108</v>
      </c>
      <c r="B1320" s="3" t="s">
        <v>317</v>
      </c>
      <c r="C1320" s="19" t="s">
        <v>6</v>
      </c>
      <c r="D1320" s="19" t="s">
        <v>50</v>
      </c>
      <c r="E1320" s="3" t="s">
        <v>453</v>
      </c>
      <c r="F1320" s="19" t="s">
        <v>103</v>
      </c>
      <c r="G1320" s="47">
        <f>34734.9+3307.8+5314+3220.1</f>
        <v>46576.800000000003</v>
      </c>
    </row>
    <row r="1321" spans="1:7" ht="30" x14ac:dyDescent="0.2">
      <c r="A1321" s="44" t="s">
        <v>102</v>
      </c>
      <c r="B1321" s="3" t="s">
        <v>317</v>
      </c>
      <c r="C1321" s="19" t="s">
        <v>6</v>
      </c>
      <c r="D1321" s="19" t="s">
        <v>50</v>
      </c>
      <c r="E1321" s="3" t="s">
        <v>453</v>
      </c>
      <c r="F1321" s="19" t="s">
        <v>101</v>
      </c>
      <c r="G1321" s="47">
        <v>6311.6</v>
      </c>
    </row>
    <row r="1322" spans="1:7" x14ac:dyDescent="0.2">
      <c r="A1322" s="44" t="s">
        <v>109</v>
      </c>
      <c r="B1322" s="3" t="s">
        <v>317</v>
      </c>
      <c r="C1322" s="19" t="s">
        <v>6</v>
      </c>
      <c r="D1322" s="19" t="s">
        <v>50</v>
      </c>
      <c r="E1322" s="3" t="s">
        <v>453</v>
      </c>
      <c r="F1322" s="19" t="s">
        <v>104</v>
      </c>
      <c r="G1322" s="47">
        <v>14</v>
      </c>
    </row>
    <row r="1323" spans="1:7" x14ac:dyDescent="0.2">
      <c r="A1323" s="1" t="s">
        <v>98</v>
      </c>
      <c r="B1323" s="3" t="s">
        <v>317</v>
      </c>
      <c r="C1323" s="3" t="s">
        <v>17</v>
      </c>
      <c r="D1323" s="3"/>
      <c r="E1323" s="3"/>
      <c r="F1323" s="3"/>
      <c r="G1323" s="32">
        <f t="shared" ref="G1323:G1328" si="10">G1324</f>
        <v>25901.8</v>
      </c>
    </row>
    <row r="1324" spans="1:7" x14ac:dyDescent="0.2">
      <c r="A1324" s="45" t="s">
        <v>308</v>
      </c>
      <c r="B1324" s="3" t="s">
        <v>317</v>
      </c>
      <c r="C1324" s="3" t="s">
        <v>17</v>
      </c>
      <c r="D1324" s="3" t="s">
        <v>30</v>
      </c>
      <c r="E1324" s="3"/>
      <c r="G1324" s="8">
        <f>G1325+G1330</f>
        <v>25901.8</v>
      </c>
    </row>
    <row r="1325" spans="1:7" ht="30" x14ac:dyDescent="0.2">
      <c r="A1325" s="56" t="s">
        <v>119</v>
      </c>
      <c r="B1325" s="3" t="s">
        <v>317</v>
      </c>
      <c r="C1325" s="3" t="s">
        <v>17</v>
      </c>
      <c r="D1325" s="3" t="s">
        <v>30</v>
      </c>
      <c r="E1325" s="57" t="s">
        <v>309</v>
      </c>
      <c r="F1325" s="48"/>
      <c r="G1325" s="8">
        <f t="shared" si="10"/>
        <v>17399.599999999999</v>
      </c>
    </row>
    <row r="1326" spans="1:7" ht="45" x14ac:dyDescent="0.2">
      <c r="A1326" s="56" t="s">
        <v>120</v>
      </c>
      <c r="B1326" s="3" t="s">
        <v>317</v>
      </c>
      <c r="C1326" s="3" t="s">
        <v>17</v>
      </c>
      <c r="D1326" s="3" t="s">
        <v>30</v>
      </c>
      <c r="E1326" s="57" t="s">
        <v>310</v>
      </c>
      <c r="F1326" s="48"/>
      <c r="G1326" s="8">
        <f t="shared" si="10"/>
        <v>17399.599999999999</v>
      </c>
    </row>
    <row r="1327" spans="1:7" ht="30" x14ac:dyDescent="0.2">
      <c r="A1327" s="56" t="s">
        <v>311</v>
      </c>
      <c r="B1327" s="3" t="s">
        <v>317</v>
      </c>
      <c r="C1327" s="3" t="s">
        <v>17</v>
      </c>
      <c r="D1327" s="3" t="s">
        <v>30</v>
      </c>
      <c r="E1327" s="57" t="s">
        <v>312</v>
      </c>
      <c r="F1327" s="48"/>
      <c r="G1327" s="8">
        <f t="shared" si="10"/>
        <v>17399.599999999999</v>
      </c>
    </row>
    <row r="1328" spans="1:7" ht="120" x14ac:dyDescent="0.2">
      <c r="A1328" s="9" t="s">
        <v>99</v>
      </c>
      <c r="B1328" s="3" t="s">
        <v>317</v>
      </c>
      <c r="C1328" s="3" t="s">
        <v>17</v>
      </c>
      <c r="D1328" s="3" t="s">
        <v>30</v>
      </c>
      <c r="E1328" s="3" t="s">
        <v>313</v>
      </c>
      <c r="F1328" s="48"/>
      <c r="G1328" s="8">
        <f t="shared" si="10"/>
        <v>17399.599999999999</v>
      </c>
    </row>
    <row r="1329" spans="1:7" ht="30" x14ac:dyDescent="0.2">
      <c r="A1329" s="20" t="s">
        <v>112</v>
      </c>
      <c r="B1329" s="3" t="s">
        <v>317</v>
      </c>
      <c r="C1329" s="3" t="s">
        <v>17</v>
      </c>
      <c r="D1329" s="3" t="s">
        <v>30</v>
      </c>
      <c r="E1329" s="3" t="s">
        <v>313</v>
      </c>
      <c r="F1329" s="19" t="s">
        <v>107</v>
      </c>
      <c r="G1329" s="8">
        <f>16419.3+980.3</f>
        <v>17399.599999999999</v>
      </c>
    </row>
    <row r="1330" spans="1:7" x14ac:dyDescent="0.2">
      <c r="A1330" s="9" t="s">
        <v>115</v>
      </c>
      <c r="B1330" s="3" t="s">
        <v>317</v>
      </c>
      <c r="C1330" s="3" t="s">
        <v>17</v>
      </c>
      <c r="D1330" s="3" t="s">
        <v>30</v>
      </c>
      <c r="E1330" s="3" t="s">
        <v>122</v>
      </c>
      <c r="F1330" s="19"/>
      <c r="G1330" s="8">
        <f>G1331</f>
        <v>8502.2000000000007</v>
      </c>
    </row>
    <row r="1331" spans="1:7" ht="30" x14ac:dyDescent="0.2">
      <c r="A1331" s="44" t="s">
        <v>100</v>
      </c>
      <c r="B1331" s="3" t="s">
        <v>317</v>
      </c>
      <c r="C1331" s="3" t="s">
        <v>17</v>
      </c>
      <c r="D1331" s="3" t="s">
        <v>30</v>
      </c>
      <c r="E1331" s="3" t="s">
        <v>126</v>
      </c>
      <c r="F1331" s="19"/>
      <c r="G1331" s="8">
        <f>G1332</f>
        <v>8502.2000000000007</v>
      </c>
    </row>
    <row r="1332" spans="1:7" ht="45" x14ac:dyDescent="0.2">
      <c r="A1332" s="20" t="s">
        <v>751</v>
      </c>
      <c r="B1332" s="3" t="s">
        <v>317</v>
      </c>
      <c r="C1332" s="3" t="s">
        <v>17</v>
      </c>
      <c r="D1332" s="3" t="s">
        <v>30</v>
      </c>
      <c r="E1332" s="3" t="s">
        <v>752</v>
      </c>
      <c r="F1332" s="19"/>
      <c r="G1332" s="8">
        <f>G1333</f>
        <v>8502.2000000000007</v>
      </c>
    </row>
    <row r="1333" spans="1:7" ht="30" x14ac:dyDescent="0.2">
      <c r="A1333" s="20" t="s">
        <v>112</v>
      </c>
      <c r="B1333" s="3" t="s">
        <v>317</v>
      </c>
      <c r="C1333" s="3" t="s">
        <v>17</v>
      </c>
      <c r="D1333" s="3" t="s">
        <v>30</v>
      </c>
      <c r="E1333" s="3" t="s">
        <v>752</v>
      </c>
      <c r="F1333" s="19" t="s">
        <v>107</v>
      </c>
      <c r="G1333" s="8">
        <v>8502.2000000000007</v>
      </c>
    </row>
    <row r="1334" spans="1:7" x14ac:dyDescent="0.2">
      <c r="A1334" s="20"/>
      <c r="B1334" s="19"/>
      <c r="C1334" s="19"/>
      <c r="D1334" s="19"/>
      <c r="E1334" s="3"/>
      <c r="F1334" s="19"/>
      <c r="G1334" s="47"/>
    </row>
    <row r="1335" spans="1:7" ht="57" x14ac:dyDescent="0.2">
      <c r="A1335" s="6" t="s">
        <v>91</v>
      </c>
      <c r="B1335" s="16">
        <v>852</v>
      </c>
      <c r="C1335" s="16"/>
      <c r="D1335" s="16"/>
      <c r="E1335" s="16"/>
      <c r="F1335" s="16"/>
      <c r="G1335" s="33">
        <f>G1336+G1373+G1366+G1379+G1387+G1401+G1394</f>
        <v>359173.5</v>
      </c>
    </row>
    <row r="1336" spans="1:7" x14ac:dyDescent="0.2">
      <c r="A1336" s="1" t="s">
        <v>5</v>
      </c>
      <c r="B1336" s="3" t="s">
        <v>318</v>
      </c>
      <c r="C1336" s="3" t="s">
        <v>6</v>
      </c>
      <c r="D1336" s="3"/>
      <c r="E1336" s="3"/>
      <c r="F1336" s="3"/>
      <c r="G1336" s="8">
        <f>G1337+G1343</f>
        <v>82794.600000000006</v>
      </c>
    </row>
    <row r="1337" spans="1:7" ht="45" x14ac:dyDescent="0.2">
      <c r="A1337" s="9" t="s">
        <v>26</v>
      </c>
      <c r="B1337" s="3" t="s">
        <v>318</v>
      </c>
      <c r="C1337" s="10" t="s">
        <v>6</v>
      </c>
      <c r="D1337" s="10" t="s">
        <v>7</v>
      </c>
      <c r="E1337" s="11"/>
      <c r="F1337" s="10"/>
      <c r="G1337" s="31">
        <f>G1338</f>
        <v>68415.8</v>
      </c>
    </row>
    <row r="1338" spans="1:7" x14ac:dyDescent="0.2">
      <c r="A1338" s="54" t="s">
        <v>115</v>
      </c>
      <c r="B1338" s="3" t="s">
        <v>318</v>
      </c>
      <c r="C1338" s="55" t="s">
        <v>6</v>
      </c>
      <c r="D1338" s="55" t="s">
        <v>7</v>
      </c>
      <c r="E1338" s="55" t="s">
        <v>122</v>
      </c>
      <c r="F1338" s="3"/>
      <c r="G1338" s="47">
        <f>G1339</f>
        <v>68415.8</v>
      </c>
    </row>
    <row r="1339" spans="1:7" x14ac:dyDescent="0.2">
      <c r="A1339" s="20" t="s">
        <v>8</v>
      </c>
      <c r="B1339" s="3" t="s">
        <v>318</v>
      </c>
      <c r="C1339" s="19" t="s">
        <v>6</v>
      </c>
      <c r="D1339" s="55" t="s">
        <v>7</v>
      </c>
      <c r="E1339" s="55" t="s">
        <v>123</v>
      </c>
      <c r="F1339" s="19"/>
      <c r="G1339" s="47">
        <f>SUM(G1340:G1342)</f>
        <v>68415.8</v>
      </c>
    </row>
    <row r="1340" spans="1:7" ht="60" x14ac:dyDescent="0.2">
      <c r="A1340" s="44" t="s">
        <v>108</v>
      </c>
      <c r="B1340" s="3" t="s">
        <v>318</v>
      </c>
      <c r="C1340" s="19" t="s">
        <v>6</v>
      </c>
      <c r="D1340" s="55" t="s">
        <v>7</v>
      </c>
      <c r="E1340" s="55" t="s">
        <v>123</v>
      </c>
      <c r="F1340" s="19" t="s">
        <v>103</v>
      </c>
      <c r="G1340" s="47">
        <f>40439+4170.4+9377.7+4008.8</f>
        <v>57995.900000000009</v>
      </c>
    </row>
    <row r="1341" spans="1:7" ht="30" x14ac:dyDescent="0.2">
      <c r="A1341" s="44" t="s">
        <v>102</v>
      </c>
      <c r="B1341" s="3" t="s">
        <v>318</v>
      </c>
      <c r="C1341" s="19" t="s">
        <v>6</v>
      </c>
      <c r="D1341" s="55" t="s">
        <v>7</v>
      </c>
      <c r="E1341" s="55" t="s">
        <v>123</v>
      </c>
      <c r="F1341" s="19" t="s">
        <v>101</v>
      </c>
      <c r="G1341" s="47">
        <f>10188.4+75.7+141.9</f>
        <v>10406</v>
      </c>
    </row>
    <row r="1342" spans="1:7" x14ac:dyDescent="0.2">
      <c r="A1342" s="44" t="s">
        <v>109</v>
      </c>
      <c r="B1342" s="3" t="s">
        <v>318</v>
      </c>
      <c r="C1342" s="19" t="s">
        <v>6</v>
      </c>
      <c r="D1342" s="55" t="s">
        <v>7</v>
      </c>
      <c r="E1342" s="55" t="s">
        <v>123</v>
      </c>
      <c r="F1342" s="19" t="s">
        <v>104</v>
      </c>
      <c r="G1342" s="47">
        <v>13.9</v>
      </c>
    </row>
    <row r="1343" spans="1:7" x14ac:dyDescent="0.2">
      <c r="A1343" s="1" t="s">
        <v>42</v>
      </c>
      <c r="B1343" s="3" t="s">
        <v>318</v>
      </c>
      <c r="C1343" s="3" t="s">
        <v>6</v>
      </c>
      <c r="D1343" s="3" t="s">
        <v>50</v>
      </c>
      <c r="E1343" s="3"/>
      <c r="F1343" s="3"/>
      <c r="G1343" s="31">
        <f>G1344+G1355+G1350</f>
        <v>14378.800000000001</v>
      </c>
    </row>
    <row r="1344" spans="1:7" ht="30" x14ac:dyDescent="0.2">
      <c r="A1344" s="1" t="s">
        <v>116</v>
      </c>
      <c r="B1344" s="3" t="s">
        <v>318</v>
      </c>
      <c r="C1344" s="3" t="s">
        <v>6</v>
      </c>
      <c r="D1344" s="3" t="s">
        <v>50</v>
      </c>
      <c r="E1344" s="3" t="s">
        <v>139</v>
      </c>
      <c r="F1344" s="3"/>
      <c r="G1344" s="31">
        <f>G1345</f>
        <v>3697.3</v>
      </c>
    </row>
    <row r="1345" spans="1:7" ht="30" x14ac:dyDescent="0.2">
      <c r="A1345" s="1" t="s">
        <v>140</v>
      </c>
      <c r="B1345" s="3" t="s">
        <v>318</v>
      </c>
      <c r="C1345" s="3" t="s">
        <v>6</v>
      </c>
      <c r="D1345" s="3" t="s">
        <v>50</v>
      </c>
      <c r="E1345" s="3" t="s">
        <v>141</v>
      </c>
      <c r="F1345" s="3"/>
      <c r="G1345" s="31">
        <f>G1346</f>
        <v>3697.3</v>
      </c>
    </row>
    <row r="1346" spans="1:7" ht="45" x14ac:dyDescent="0.2">
      <c r="A1346" s="1" t="s">
        <v>142</v>
      </c>
      <c r="B1346" s="3" t="s">
        <v>318</v>
      </c>
      <c r="C1346" s="3" t="s">
        <v>6</v>
      </c>
      <c r="D1346" s="3" t="s">
        <v>50</v>
      </c>
      <c r="E1346" s="3" t="s">
        <v>143</v>
      </c>
      <c r="F1346" s="3"/>
      <c r="G1346" s="31">
        <f>G1347</f>
        <v>3697.3</v>
      </c>
    </row>
    <row r="1347" spans="1:7" ht="30" x14ac:dyDescent="0.2">
      <c r="A1347" s="1" t="s">
        <v>144</v>
      </c>
      <c r="B1347" s="3" t="s">
        <v>318</v>
      </c>
      <c r="C1347" s="3" t="s">
        <v>6</v>
      </c>
      <c r="D1347" s="3" t="s">
        <v>50</v>
      </c>
      <c r="E1347" s="3" t="s">
        <v>145</v>
      </c>
      <c r="F1347" s="3"/>
      <c r="G1347" s="31">
        <f>SUM(G1348:G1349)</f>
        <v>3697.3</v>
      </c>
    </row>
    <row r="1348" spans="1:7" ht="60" x14ac:dyDescent="0.2">
      <c r="A1348" s="44" t="s">
        <v>108</v>
      </c>
      <c r="B1348" s="3" t="s">
        <v>318</v>
      </c>
      <c r="C1348" s="3" t="s">
        <v>6</v>
      </c>
      <c r="D1348" s="3" t="s">
        <v>50</v>
      </c>
      <c r="E1348" s="3" t="s">
        <v>145</v>
      </c>
      <c r="F1348" s="3" t="s">
        <v>103</v>
      </c>
      <c r="G1348" s="31">
        <f>2952.9+457.3</f>
        <v>3410.2000000000003</v>
      </c>
    </row>
    <row r="1349" spans="1:7" ht="30" x14ac:dyDescent="0.2">
      <c r="A1349" s="44" t="s">
        <v>102</v>
      </c>
      <c r="B1349" s="3" t="s">
        <v>318</v>
      </c>
      <c r="C1349" s="3" t="s">
        <v>6</v>
      </c>
      <c r="D1349" s="3" t="s">
        <v>50</v>
      </c>
      <c r="E1349" s="3" t="s">
        <v>145</v>
      </c>
      <c r="F1349" s="3" t="s">
        <v>101</v>
      </c>
      <c r="G1349" s="31">
        <v>287.10000000000002</v>
      </c>
    </row>
    <row r="1350" spans="1:7" ht="45" x14ac:dyDescent="0.2">
      <c r="A1350" s="44" t="s">
        <v>725</v>
      </c>
      <c r="B1350" s="3" t="s">
        <v>318</v>
      </c>
      <c r="C1350" s="3" t="s">
        <v>6</v>
      </c>
      <c r="D1350" s="3" t="s">
        <v>50</v>
      </c>
      <c r="E1350" s="3" t="s">
        <v>729</v>
      </c>
      <c r="F1350" s="3"/>
      <c r="G1350" s="31">
        <f>G1351</f>
        <v>5110.8999999999996</v>
      </c>
    </row>
    <row r="1351" spans="1:7" ht="45" x14ac:dyDescent="0.2">
      <c r="A1351" s="44" t="s">
        <v>726</v>
      </c>
      <c r="B1351" s="3" t="s">
        <v>318</v>
      </c>
      <c r="C1351" s="3" t="s">
        <v>6</v>
      </c>
      <c r="D1351" s="3" t="s">
        <v>50</v>
      </c>
      <c r="E1351" s="3" t="s">
        <v>730</v>
      </c>
      <c r="F1351" s="3"/>
      <c r="G1351" s="31">
        <f>G1352</f>
        <v>5110.8999999999996</v>
      </c>
    </row>
    <row r="1352" spans="1:7" ht="45" x14ac:dyDescent="0.2">
      <c r="A1352" s="44" t="s">
        <v>727</v>
      </c>
      <c r="B1352" s="3" t="s">
        <v>318</v>
      </c>
      <c r="C1352" s="3" t="s">
        <v>6</v>
      </c>
      <c r="D1352" s="3" t="s">
        <v>50</v>
      </c>
      <c r="E1352" s="3" t="s">
        <v>731</v>
      </c>
      <c r="F1352" s="3"/>
      <c r="G1352" s="31">
        <f>G1353</f>
        <v>5110.8999999999996</v>
      </c>
    </row>
    <row r="1353" spans="1:7" ht="45" x14ac:dyDescent="0.2">
      <c r="A1353" s="44" t="s">
        <v>728</v>
      </c>
      <c r="B1353" s="3" t="s">
        <v>318</v>
      </c>
      <c r="C1353" s="3" t="s">
        <v>6</v>
      </c>
      <c r="D1353" s="3" t="s">
        <v>50</v>
      </c>
      <c r="E1353" s="3" t="s">
        <v>732</v>
      </c>
      <c r="F1353" s="3"/>
      <c r="G1353" s="31">
        <f>G1354</f>
        <v>5110.8999999999996</v>
      </c>
    </row>
    <row r="1354" spans="1:7" x14ac:dyDescent="0.2">
      <c r="A1354" s="44" t="s">
        <v>109</v>
      </c>
      <c r="B1354" s="3" t="s">
        <v>318</v>
      </c>
      <c r="C1354" s="3" t="s">
        <v>6</v>
      </c>
      <c r="D1354" s="3" t="s">
        <v>50</v>
      </c>
      <c r="E1354" s="3" t="s">
        <v>732</v>
      </c>
      <c r="F1354" s="3" t="s">
        <v>104</v>
      </c>
      <c r="G1354" s="31">
        <f>3217.9+1893</f>
        <v>5110.8999999999996</v>
      </c>
    </row>
    <row r="1355" spans="1:7" x14ac:dyDescent="0.2">
      <c r="A1355" s="20" t="s">
        <v>115</v>
      </c>
      <c r="B1355" s="3" t="s">
        <v>318</v>
      </c>
      <c r="C1355" s="3" t="s">
        <v>6</v>
      </c>
      <c r="D1355" s="3" t="s">
        <v>50</v>
      </c>
      <c r="E1355" s="55" t="s">
        <v>122</v>
      </c>
      <c r="F1355" s="19"/>
      <c r="G1355" s="47">
        <f>G1356+G1358+G1361</f>
        <v>5570.6</v>
      </c>
    </row>
    <row r="1356" spans="1:7" x14ac:dyDescent="0.2">
      <c r="A1356" s="44" t="s">
        <v>94</v>
      </c>
      <c r="B1356" s="3" t="s">
        <v>318</v>
      </c>
      <c r="C1356" s="3" t="s">
        <v>6</v>
      </c>
      <c r="D1356" s="3" t="s">
        <v>50</v>
      </c>
      <c r="E1356" s="55" t="s">
        <v>146</v>
      </c>
      <c r="F1356" s="19"/>
      <c r="G1356" s="47">
        <f>G1357</f>
        <v>518.70000000000005</v>
      </c>
    </row>
    <row r="1357" spans="1:7" x14ac:dyDescent="0.2">
      <c r="A1357" s="44" t="s">
        <v>109</v>
      </c>
      <c r="B1357" s="3" t="s">
        <v>318</v>
      </c>
      <c r="C1357" s="3" t="s">
        <v>6</v>
      </c>
      <c r="D1357" s="3" t="s">
        <v>50</v>
      </c>
      <c r="E1357" s="55" t="s">
        <v>146</v>
      </c>
      <c r="F1357" s="19" t="s">
        <v>104</v>
      </c>
      <c r="G1357" s="47">
        <v>518.70000000000005</v>
      </c>
    </row>
    <row r="1358" spans="1:7" ht="45" x14ac:dyDescent="0.2">
      <c r="A1358" s="45" t="s">
        <v>62</v>
      </c>
      <c r="B1358" s="3" t="s">
        <v>318</v>
      </c>
      <c r="C1358" s="3" t="s">
        <v>6</v>
      </c>
      <c r="D1358" s="3" t="s">
        <v>50</v>
      </c>
      <c r="E1358" s="3" t="s">
        <v>124</v>
      </c>
      <c r="F1358" s="19"/>
      <c r="G1358" s="47">
        <f>G1359+G1360</f>
        <v>2257.6</v>
      </c>
    </row>
    <row r="1359" spans="1:7" ht="60" x14ac:dyDescent="0.2">
      <c r="A1359" s="44" t="s">
        <v>108</v>
      </c>
      <c r="B1359" s="3" t="s">
        <v>318</v>
      </c>
      <c r="C1359" s="3" t="s">
        <v>6</v>
      </c>
      <c r="D1359" s="3" t="s">
        <v>50</v>
      </c>
      <c r="E1359" s="3" t="s">
        <v>124</v>
      </c>
      <c r="F1359" s="19" t="s">
        <v>103</v>
      </c>
      <c r="G1359" s="47">
        <f>1519+509.5+42</f>
        <v>2070.5</v>
      </c>
    </row>
    <row r="1360" spans="1:7" ht="30" x14ac:dyDescent="0.2">
      <c r="A1360" s="44" t="s">
        <v>102</v>
      </c>
      <c r="B1360" s="3" t="s">
        <v>318</v>
      </c>
      <c r="C1360" s="3" t="s">
        <v>6</v>
      </c>
      <c r="D1360" s="3" t="s">
        <v>50</v>
      </c>
      <c r="E1360" s="3" t="s">
        <v>124</v>
      </c>
      <c r="F1360" s="19" t="s">
        <v>101</v>
      </c>
      <c r="G1360" s="47">
        <v>187.1</v>
      </c>
    </row>
    <row r="1361" spans="1:7" ht="30" x14ac:dyDescent="0.2">
      <c r="A1361" s="45" t="s">
        <v>100</v>
      </c>
      <c r="B1361" s="3" t="s">
        <v>318</v>
      </c>
      <c r="C1361" s="3" t="s">
        <v>6</v>
      </c>
      <c r="D1361" s="3" t="s">
        <v>50</v>
      </c>
      <c r="E1361" s="19" t="s">
        <v>126</v>
      </c>
      <c r="F1361" s="19"/>
      <c r="G1361" s="47">
        <f>G1362+G1364</f>
        <v>2794.3</v>
      </c>
    </row>
    <row r="1362" spans="1:7" ht="30" x14ac:dyDescent="0.2">
      <c r="A1362" s="44" t="s">
        <v>707</v>
      </c>
      <c r="B1362" s="3" t="s">
        <v>318</v>
      </c>
      <c r="C1362" s="3" t="s">
        <v>6</v>
      </c>
      <c r="D1362" s="3" t="s">
        <v>50</v>
      </c>
      <c r="E1362" s="19" t="s">
        <v>708</v>
      </c>
      <c r="F1362" s="19"/>
      <c r="G1362" s="47">
        <f>G1363</f>
        <v>509</v>
      </c>
    </row>
    <row r="1363" spans="1:7" ht="60" x14ac:dyDescent="0.2">
      <c r="A1363" s="44" t="s">
        <v>108</v>
      </c>
      <c r="B1363" s="3" t="s">
        <v>318</v>
      </c>
      <c r="C1363" s="3" t="s">
        <v>6</v>
      </c>
      <c r="D1363" s="3" t="s">
        <v>50</v>
      </c>
      <c r="E1363" s="19" t="s">
        <v>708</v>
      </c>
      <c r="F1363" s="19" t="s">
        <v>103</v>
      </c>
      <c r="G1363" s="47">
        <f>154+340+15</f>
        <v>509</v>
      </c>
    </row>
    <row r="1364" spans="1:7" ht="30" x14ac:dyDescent="0.2">
      <c r="A1364" s="44" t="s">
        <v>516</v>
      </c>
      <c r="B1364" s="3" t="s">
        <v>318</v>
      </c>
      <c r="C1364" s="3" t="s">
        <v>6</v>
      </c>
      <c r="D1364" s="3" t="s">
        <v>50</v>
      </c>
      <c r="E1364" s="19" t="s">
        <v>517</v>
      </c>
      <c r="F1364" s="19"/>
      <c r="G1364" s="47">
        <f>G1365</f>
        <v>2285.3000000000002</v>
      </c>
    </row>
    <row r="1365" spans="1:7" ht="60" x14ac:dyDescent="0.2">
      <c r="A1365" s="44" t="s">
        <v>108</v>
      </c>
      <c r="B1365" s="3" t="s">
        <v>318</v>
      </c>
      <c r="C1365" s="3" t="s">
        <v>6</v>
      </c>
      <c r="D1365" s="3" t="s">
        <v>50</v>
      </c>
      <c r="E1365" s="19" t="s">
        <v>517</v>
      </c>
      <c r="F1365" s="19" t="s">
        <v>103</v>
      </c>
      <c r="G1365" s="47">
        <f>981.4+401+864.2+38.7</f>
        <v>2285.3000000000002</v>
      </c>
    </row>
    <row r="1366" spans="1:7" x14ac:dyDescent="0.2">
      <c r="A1366" s="9" t="s">
        <v>14</v>
      </c>
      <c r="B1366" s="3" t="s">
        <v>318</v>
      </c>
      <c r="C1366" s="3" t="s">
        <v>15</v>
      </c>
      <c r="D1366" s="3"/>
      <c r="E1366" s="3"/>
      <c r="F1366" s="3"/>
      <c r="G1366" s="32">
        <f>G1367</f>
        <v>29122.799999999999</v>
      </c>
    </row>
    <row r="1367" spans="1:7" ht="30" x14ac:dyDescent="0.2">
      <c r="A1367" s="9" t="s">
        <v>151</v>
      </c>
      <c r="B1367" s="3" t="s">
        <v>318</v>
      </c>
      <c r="C1367" s="3" t="s">
        <v>15</v>
      </c>
      <c r="D1367" s="3" t="s">
        <v>27</v>
      </c>
      <c r="E1367" s="3"/>
      <c r="F1367" s="3"/>
      <c r="G1367" s="32">
        <f>G1368</f>
        <v>29122.799999999999</v>
      </c>
    </row>
    <row r="1368" spans="1:7" ht="30" x14ac:dyDescent="0.2">
      <c r="A1368" s="44" t="s">
        <v>462</v>
      </c>
      <c r="B1368" s="3" t="s">
        <v>318</v>
      </c>
      <c r="C1368" s="3" t="s">
        <v>15</v>
      </c>
      <c r="D1368" s="3" t="s">
        <v>27</v>
      </c>
      <c r="E1368" s="3" t="s">
        <v>464</v>
      </c>
      <c r="F1368" s="19"/>
      <c r="G1368" s="28">
        <f>G1369</f>
        <v>29122.799999999999</v>
      </c>
    </row>
    <row r="1369" spans="1:7" ht="45" x14ac:dyDescent="0.2">
      <c r="A1369" s="45" t="s">
        <v>469</v>
      </c>
      <c r="B1369" s="3" t="s">
        <v>318</v>
      </c>
      <c r="C1369" s="19" t="s">
        <v>15</v>
      </c>
      <c r="D1369" s="19" t="s">
        <v>27</v>
      </c>
      <c r="E1369" s="3" t="s">
        <v>465</v>
      </c>
      <c r="F1369" s="19"/>
      <c r="G1369" s="28">
        <f>G1370</f>
        <v>29122.799999999999</v>
      </c>
    </row>
    <row r="1370" spans="1:7" ht="30" x14ac:dyDescent="0.2">
      <c r="A1370" s="44" t="s">
        <v>466</v>
      </c>
      <c r="B1370" s="3" t="s">
        <v>318</v>
      </c>
      <c r="C1370" s="19" t="s">
        <v>15</v>
      </c>
      <c r="D1370" s="19" t="s">
        <v>27</v>
      </c>
      <c r="E1370" s="3" t="s">
        <v>467</v>
      </c>
      <c r="F1370" s="19"/>
      <c r="G1370" s="28">
        <f>G1371+G1372</f>
        <v>29122.799999999999</v>
      </c>
    </row>
    <row r="1371" spans="1:7" ht="60" x14ac:dyDescent="0.2">
      <c r="A1371" s="44" t="s">
        <v>108</v>
      </c>
      <c r="B1371" s="3" t="s">
        <v>318</v>
      </c>
      <c r="C1371" s="19" t="s">
        <v>15</v>
      </c>
      <c r="D1371" s="19" t="s">
        <v>27</v>
      </c>
      <c r="E1371" s="19" t="s">
        <v>467</v>
      </c>
      <c r="F1371" s="19" t="s">
        <v>103</v>
      </c>
      <c r="G1371" s="28">
        <f>17470.1+1954.6+3339.7+5798.6</f>
        <v>28563</v>
      </c>
    </row>
    <row r="1372" spans="1:7" ht="60" x14ac:dyDescent="0.2">
      <c r="A1372" s="44" t="s">
        <v>108</v>
      </c>
      <c r="B1372" s="3" t="s">
        <v>318</v>
      </c>
      <c r="C1372" s="19" t="s">
        <v>15</v>
      </c>
      <c r="D1372" s="19" t="s">
        <v>27</v>
      </c>
      <c r="E1372" s="19" t="s">
        <v>467</v>
      </c>
      <c r="F1372" s="19" t="s">
        <v>101</v>
      </c>
      <c r="G1372" s="28">
        <f>121.6+438.2</f>
        <v>559.79999999999995</v>
      </c>
    </row>
    <row r="1373" spans="1:7" x14ac:dyDescent="0.2">
      <c r="A1373" s="1" t="s">
        <v>19</v>
      </c>
      <c r="B1373" s="3" t="s">
        <v>318</v>
      </c>
      <c r="C1373" s="3" t="s">
        <v>7</v>
      </c>
      <c r="D1373" s="3"/>
      <c r="E1373" s="3"/>
      <c r="F1373" s="3"/>
      <c r="G1373" s="8">
        <f>G1374</f>
        <v>232641.9</v>
      </c>
    </row>
    <row r="1374" spans="1:7" x14ac:dyDescent="0.2">
      <c r="A1374" s="1" t="s">
        <v>121</v>
      </c>
      <c r="B1374" s="3" t="s">
        <v>318</v>
      </c>
      <c r="C1374" s="3" t="s">
        <v>7</v>
      </c>
      <c r="D1374" s="3" t="s">
        <v>17</v>
      </c>
      <c r="E1374" s="3"/>
      <c r="F1374" s="3"/>
      <c r="G1374" s="8">
        <f>G1375</f>
        <v>232641.9</v>
      </c>
    </row>
    <row r="1375" spans="1:7" ht="30" x14ac:dyDescent="0.2">
      <c r="A1375" s="1" t="s">
        <v>127</v>
      </c>
      <c r="B1375" s="3" t="s">
        <v>318</v>
      </c>
      <c r="C1375" s="10" t="s">
        <v>7</v>
      </c>
      <c r="D1375" s="10" t="s">
        <v>17</v>
      </c>
      <c r="E1375" s="3" t="s">
        <v>128</v>
      </c>
      <c r="F1375" s="3"/>
      <c r="G1375" s="31">
        <f>G1376</f>
        <v>232641.9</v>
      </c>
    </row>
    <row r="1376" spans="1:7" ht="30" x14ac:dyDescent="0.2">
      <c r="A1376" s="44" t="s">
        <v>325</v>
      </c>
      <c r="B1376" s="3" t="s">
        <v>318</v>
      </c>
      <c r="C1376" s="19" t="s">
        <v>7</v>
      </c>
      <c r="D1376" s="19" t="s">
        <v>17</v>
      </c>
      <c r="E1376" s="3" t="s">
        <v>129</v>
      </c>
      <c r="F1376" s="19"/>
      <c r="G1376" s="47">
        <f>G1377</f>
        <v>232641.9</v>
      </c>
    </row>
    <row r="1377" spans="1:7" ht="45" x14ac:dyDescent="0.2">
      <c r="A1377" s="44" t="s">
        <v>423</v>
      </c>
      <c r="B1377" s="3" t="s">
        <v>318</v>
      </c>
      <c r="C1377" s="19" t="s">
        <v>7</v>
      </c>
      <c r="D1377" s="19" t="s">
        <v>17</v>
      </c>
      <c r="E1377" s="3" t="s">
        <v>326</v>
      </c>
      <c r="F1377" s="19"/>
      <c r="G1377" s="28">
        <f>G1378</f>
        <v>232641.9</v>
      </c>
    </row>
    <row r="1378" spans="1:7" ht="30" x14ac:dyDescent="0.2">
      <c r="A1378" s="44" t="s">
        <v>102</v>
      </c>
      <c r="B1378" s="3" t="s">
        <v>318</v>
      </c>
      <c r="C1378" s="19" t="s">
        <v>7</v>
      </c>
      <c r="D1378" s="19" t="s">
        <v>17</v>
      </c>
      <c r="E1378" s="3" t="s">
        <v>326</v>
      </c>
      <c r="F1378" s="19" t="s">
        <v>101</v>
      </c>
      <c r="G1378" s="28">
        <v>232641.9</v>
      </c>
    </row>
    <row r="1379" spans="1:7" x14ac:dyDescent="0.2">
      <c r="A1379" s="1" t="s">
        <v>22</v>
      </c>
      <c r="B1379" s="3" t="s">
        <v>318</v>
      </c>
      <c r="C1379" s="3" t="s">
        <v>9</v>
      </c>
      <c r="D1379" s="3"/>
      <c r="E1379" s="19"/>
      <c r="F1379" s="19"/>
      <c r="G1379" s="31">
        <f>G1380</f>
        <v>13622.5</v>
      </c>
    </row>
    <row r="1380" spans="1:7" x14ac:dyDescent="0.2">
      <c r="A1380" s="9" t="s">
        <v>43</v>
      </c>
      <c r="B1380" s="3" t="s">
        <v>318</v>
      </c>
      <c r="C1380" s="10" t="s">
        <v>9</v>
      </c>
      <c r="D1380" s="10" t="s">
        <v>15</v>
      </c>
      <c r="E1380" s="3"/>
      <c r="F1380" s="10"/>
      <c r="G1380" s="32">
        <f>G1381</f>
        <v>13622.5</v>
      </c>
    </row>
    <row r="1381" spans="1:7" ht="30" x14ac:dyDescent="0.2">
      <c r="A1381" s="1" t="s">
        <v>127</v>
      </c>
      <c r="B1381" s="3" t="s">
        <v>318</v>
      </c>
      <c r="C1381" s="10" t="s">
        <v>9</v>
      </c>
      <c r="D1381" s="10" t="s">
        <v>15</v>
      </c>
      <c r="E1381" s="3" t="s">
        <v>128</v>
      </c>
      <c r="F1381" s="7"/>
      <c r="G1381" s="32">
        <f>G1382</f>
        <v>13622.5</v>
      </c>
    </row>
    <row r="1382" spans="1:7" ht="30" x14ac:dyDescent="0.2">
      <c r="A1382" s="1" t="s">
        <v>331</v>
      </c>
      <c r="B1382" s="3" t="s">
        <v>318</v>
      </c>
      <c r="C1382" s="10" t="s">
        <v>9</v>
      </c>
      <c r="D1382" s="10" t="s">
        <v>15</v>
      </c>
      <c r="E1382" s="3" t="s">
        <v>129</v>
      </c>
      <c r="F1382" s="7"/>
      <c r="G1382" s="32">
        <f>G1383+G1385</f>
        <v>13622.5</v>
      </c>
    </row>
    <row r="1383" spans="1:7" x14ac:dyDescent="0.2">
      <c r="A1383" s="51" t="s">
        <v>327</v>
      </c>
      <c r="B1383" s="3" t="s">
        <v>318</v>
      </c>
      <c r="C1383" s="10" t="s">
        <v>9</v>
      </c>
      <c r="D1383" s="10" t="s">
        <v>15</v>
      </c>
      <c r="E1383" s="3" t="s">
        <v>328</v>
      </c>
      <c r="F1383" s="10"/>
      <c r="G1383" s="32">
        <f>G1384</f>
        <v>7481.1</v>
      </c>
    </row>
    <row r="1384" spans="1:7" ht="30" x14ac:dyDescent="0.2">
      <c r="A1384" s="44" t="s">
        <v>102</v>
      </c>
      <c r="B1384" s="3" t="s">
        <v>318</v>
      </c>
      <c r="C1384" s="19" t="s">
        <v>9</v>
      </c>
      <c r="D1384" s="19" t="s">
        <v>15</v>
      </c>
      <c r="E1384" s="3" t="s">
        <v>328</v>
      </c>
      <c r="F1384" s="10" t="s">
        <v>101</v>
      </c>
      <c r="G1384" s="32">
        <v>7481.1</v>
      </c>
    </row>
    <row r="1385" spans="1:7" ht="30" x14ac:dyDescent="0.2">
      <c r="A1385" s="9" t="s">
        <v>329</v>
      </c>
      <c r="B1385" s="3" t="s">
        <v>318</v>
      </c>
      <c r="C1385" s="23" t="s">
        <v>9</v>
      </c>
      <c r="D1385" s="23" t="s">
        <v>15</v>
      </c>
      <c r="E1385" s="3" t="s">
        <v>330</v>
      </c>
      <c r="F1385" s="10"/>
      <c r="G1385" s="32">
        <f>G1386</f>
        <v>6141.4</v>
      </c>
    </row>
    <row r="1386" spans="1:7" ht="30" x14ac:dyDescent="0.2">
      <c r="A1386" s="44" t="s">
        <v>102</v>
      </c>
      <c r="B1386" s="3" t="s">
        <v>318</v>
      </c>
      <c r="C1386" s="23" t="s">
        <v>9</v>
      </c>
      <c r="D1386" s="23" t="s">
        <v>15</v>
      </c>
      <c r="E1386" s="3" t="s">
        <v>330</v>
      </c>
      <c r="F1386" s="10" t="s">
        <v>101</v>
      </c>
      <c r="G1386" s="32">
        <f>7251.7-1110.3</f>
        <v>6141.4</v>
      </c>
    </row>
    <row r="1387" spans="1:7" x14ac:dyDescent="0.2">
      <c r="A1387" s="1" t="s">
        <v>29</v>
      </c>
      <c r="B1387" s="3" t="s">
        <v>318</v>
      </c>
      <c r="C1387" s="19" t="s">
        <v>30</v>
      </c>
      <c r="D1387" s="19"/>
      <c r="E1387" s="3"/>
      <c r="F1387" s="19"/>
      <c r="G1387" s="47">
        <f t="shared" ref="G1387:G1388" si="11">G1388</f>
        <v>35</v>
      </c>
    </row>
    <row r="1388" spans="1:7" x14ac:dyDescent="0.2">
      <c r="A1388" s="1" t="s">
        <v>475</v>
      </c>
      <c r="B1388" s="3" t="s">
        <v>318</v>
      </c>
      <c r="C1388" s="3" t="s">
        <v>30</v>
      </c>
      <c r="D1388" s="3" t="s">
        <v>30</v>
      </c>
      <c r="E1388" s="3"/>
      <c r="F1388" s="19"/>
      <c r="G1388" s="47">
        <f t="shared" si="11"/>
        <v>35</v>
      </c>
    </row>
    <row r="1389" spans="1:7" ht="30" x14ac:dyDescent="0.2">
      <c r="A1389" s="44" t="s">
        <v>553</v>
      </c>
      <c r="B1389" s="3" t="s">
        <v>318</v>
      </c>
      <c r="C1389" s="19" t="s">
        <v>30</v>
      </c>
      <c r="D1389" s="19" t="s">
        <v>30</v>
      </c>
      <c r="E1389" s="3" t="s">
        <v>377</v>
      </c>
      <c r="F1389" s="19"/>
      <c r="G1389" s="47">
        <f>G1390</f>
        <v>35</v>
      </c>
    </row>
    <row r="1390" spans="1:7" ht="30" x14ac:dyDescent="0.2">
      <c r="A1390" s="44" t="s">
        <v>130</v>
      </c>
      <c r="B1390" s="3" t="s">
        <v>318</v>
      </c>
      <c r="C1390" s="19" t="s">
        <v>30</v>
      </c>
      <c r="D1390" s="19" t="s">
        <v>30</v>
      </c>
      <c r="E1390" s="3" t="s">
        <v>333</v>
      </c>
      <c r="F1390" s="3"/>
      <c r="G1390" s="47">
        <f>G1391</f>
        <v>35</v>
      </c>
    </row>
    <row r="1391" spans="1:7" ht="30" x14ac:dyDescent="0.2">
      <c r="A1391" s="9" t="s">
        <v>459</v>
      </c>
      <c r="B1391" s="3" t="s">
        <v>318</v>
      </c>
      <c r="C1391" s="19" t="s">
        <v>30</v>
      </c>
      <c r="D1391" s="19" t="s">
        <v>30</v>
      </c>
      <c r="E1391" s="3" t="s">
        <v>334</v>
      </c>
      <c r="F1391" s="19"/>
      <c r="G1391" s="47">
        <f>G1392</f>
        <v>35</v>
      </c>
    </row>
    <row r="1392" spans="1:7" x14ac:dyDescent="0.2">
      <c r="A1392" s="9" t="s">
        <v>460</v>
      </c>
      <c r="B1392" s="3" t="s">
        <v>318</v>
      </c>
      <c r="C1392" s="19" t="s">
        <v>30</v>
      </c>
      <c r="D1392" s="19" t="s">
        <v>30</v>
      </c>
      <c r="E1392" s="3" t="s">
        <v>335</v>
      </c>
      <c r="F1392" s="19"/>
      <c r="G1392" s="47">
        <f>G1393</f>
        <v>35</v>
      </c>
    </row>
    <row r="1393" spans="1:7" ht="30" x14ac:dyDescent="0.2">
      <c r="A1393" s="44" t="s">
        <v>102</v>
      </c>
      <c r="B1393" s="3" t="s">
        <v>318</v>
      </c>
      <c r="C1393" s="19" t="s">
        <v>30</v>
      </c>
      <c r="D1393" s="19" t="s">
        <v>30</v>
      </c>
      <c r="E1393" s="3" t="s">
        <v>335</v>
      </c>
      <c r="F1393" s="19" t="s">
        <v>101</v>
      </c>
      <c r="G1393" s="47">
        <v>35</v>
      </c>
    </row>
    <row r="1394" spans="1:7" x14ac:dyDescent="0.2">
      <c r="A1394" s="9" t="s">
        <v>182</v>
      </c>
      <c r="B1394" s="3" t="s">
        <v>318</v>
      </c>
      <c r="C1394" s="19" t="s">
        <v>21</v>
      </c>
      <c r="D1394" s="19"/>
      <c r="E1394" s="3"/>
      <c r="F1394" s="19"/>
      <c r="G1394" s="47">
        <f t="shared" ref="G1394:G1399" si="12">G1395</f>
        <v>490</v>
      </c>
    </row>
    <row r="1395" spans="1:7" x14ac:dyDescent="0.2">
      <c r="A1395" s="1" t="s">
        <v>183</v>
      </c>
      <c r="B1395" s="3" t="s">
        <v>318</v>
      </c>
      <c r="C1395" s="19" t="s">
        <v>21</v>
      </c>
      <c r="D1395" s="19" t="s">
        <v>6</v>
      </c>
      <c r="E1395" s="3"/>
      <c r="F1395" s="19"/>
      <c r="G1395" s="47">
        <f t="shared" si="12"/>
        <v>490</v>
      </c>
    </row>
    <row r="1396" spans="1:7" ht="30" x14ac:dyDescent="0.2">
      <c r="A1396" s="44" t="s">
        <v>551</v>
      </c>
      <c r="B1396" s="3" t="s">
        <v>318</v>
      </c>
      <c r="C1396" s="19" t="s">
        <v>21</v>
      </c>
      <c r="D1396" s="19" t="s">
        <v>6</v>
      </c>
      <c r="E1396" s="57" t="s">
        <v>161</v>
      </c>
      <c r="F1396" s="19"/>
      <c r="G1396" s="47">
        <f t="shared" si="12"/>
        <v>490</v>
      </c>
    </row>
    <row r="1397" spans="1:7" x14ac:dyDescent="0.2">
      <c r="A1397" s="20" t="s">
        <v>162</v>
      </c>
      <c r="B1397" s="3" t="s">
        <v>318</v>
      </c>
      <c r="C1397" s="19" t="s">
        <v>21</v>
      </c>
      <c r="D1397" s="19" t="s">
        <v>6</v>
      </c>
      <c r="E1397" s="19" t="s">
        <v>163</v>
      </c>
      <c r="F1397" s="19"/>
      <c r="G1397" s="47">
        <f t="shared" si="12"/>
        <v>490</v>
      </c>
    </row>
    <row r="1398" spans="1:7" ht="30" x14ac:dyDescent="0.2">
      <c r="A1398" s="20" t="s">
        <v>210</v>
      </c>
      <c r="B1398" s="3" t="s">
        <v>318</v>
      </c>
      <c r="C1398" s="3" t="s">
        <v>21</v>
      </c>
      <c r="D1398" s="3" t="s">
        <v>6</v>
      </c>
      <c r="E1398" s="19" t="s">
        <v>211</v>
      </c>
      <c r="F1398" s="3"/>
      <c r="G1398" s="47">
        <f t="shared" si="12"/>
        <v>490</v>
      </c>
    </row>
    <row r="1399" spans="1:7" x14ac:dyDescent="0.2">
      <c r="A1399" s="20" t="s">
        <v>212</v>
      </c>
      <c r="B1399" s="3" t="s">
        <v>318</v>
      </c>
      <c r="C1399" s="3" t="s">
        <v>21</v>
      </c>
      <c r="D1399" s="3" t="s">
        <v>6</v>
      </c>
      <c r="E1399" s="19" t="s">
        <v>213</v>
      </c>
      <c r="F1399" s="3"/>
      <c r="G1399" s="47">
        <f t="shared" si="12"/>
        <v>490</v>
      </c>
    </row>
    <row r="1400" spans="1:7" ht="30" x14ac:dyDescent="0.2">
      <c r="A1400" s="44" t="s">
        <v>102</v>
      </c>
      <c r="B1400" s="3" t="s">
        <v>318</v>
      </c>
      <c r="C1400" s="3" t="s">
        <v>21</v>
      </c>
      <c r="D1400" s="3" t="s">
        <v>6</v>
      </c>
      <c r="E1400" s="19" t="s">
        <v>213</v>
      </c>
      <c r="F1400" s="3" t="s">
        <v>101</v>
      </c>
      <c r="G1400" s="47">
        <f>500-10</f>
        <v>490</v>
      </c>
    </row>
    <row r="1401" spans="1:7" x14ac:dyDescent="0.2">
      <c r="A1401" s="1" t="s">
        <v>28</v>
      </c>
      <c r="B1401" s="3" t="s">
        <v>318</v>
      </c>
      <c r="C1401" s="3" t="s">
        <v>47</v>
      </c>
      <c r="D1401" s="3"/>
      <c r="E1401" s="3"/>
      <c r="F1401" s="3"/>
      <c r="G1401" s="32">
        <f t="shared" ref="G1401:G1406" si="13">G1402</f>
        <v>466.7</v>
      </c>
    </row>
    <row r="1402" spans="1:7" x14ac:dyDescent="0.2">
      <c r="A1402" s="68" t="s">
        <v>52</v>
      </c>
      <c r="B1402" s="3" t="s">
        <v>318</v>
      </c>
      <c r="C1402" s="3" t="s">
        <v>47</v>
      </c>
      <c r="D1402" s="3" t="s">
        <v>16</v>
      </c>
      <c r="E1402" s="3"/>
      <c r="F1402" s="3"/>
      <c r="G1402" s="32">
        <f t="shared" si="13"/>
        <v>466.7</v>
      </c>
    </row>
    <row r="1403" spans="1:7" ht="30" x14ac:dyDescent="0.2">
      <c r="A1403" s="44" t="s">
        <v>552</v>
      </c>
      <c r="B1403" s="3" t="s">
        <v>318</v>
      </c>
      <c r="C1403" s="19" t="s">
        <v>47</v>
      </c>
      <c r="D1403" s="19" t="s">
        <v>16</v>
      </c>
      <c r="E1403" s="3" t="s">
        <v>336</v>
      </c>
      <c r="F1403" s="19"/>
      <c r="G1403" s="28">
        <f t="shared" si="13"/>
        <v>466.7</v>
      </c>
    </row>
    <row r="1404" spans="1:7" ht="30" x14ac:dyDescent="0.2">
      <c r="A1404" s="9" t="s">
        <v>152</v>
      </c>
      <c r="B1404" s="3" t="s">
        <v>318</v>
      </c>
      <c r="C1404" s="19" t="s">
        <v>47</v>
      </c>
      <c r="D1404" s="19" t="s">
        <v>16</v>
      </c>
      <c r="E1404" s="3" t="s">
        <v>341</v>
      </c>
      <c r="F1404" s="19"/>
      <c r="G1404" s="47">
        <f t="shared" si="13"/>
        <v>466.7</v>
      </c>
    </row>
    <row r="1405" spans="1:7" ht="30" x14ac:dyDescent="0.2">
      <c r="A1405" s="44" t="s">
        <v>337</v>
      </c>
      <c r="B1405" s="3" t="s">
        <v>318</v>
      </c>
      <c r="C1405" s="19" t="s">
        <v>47</v>
      </c>
      <c r="D1405" s="19" t="s">
        <v>16</v>
      </c>
      <c r="E1405" s="3" t="s">
        <v>338</v>
      </c>
      <c r="F1405" s="19"/>
      <c r="G1405" s="47">
        <f t="shared" si="13"/>
        <v>466.7</v>
      </c>
    </row>
    <row r="1406" spans="1:7" ht="30" x14ac:dyDescent="0.2">
      <c r="A1406" s="44" t="s">
        <v>339</v>
      </c>
      <c r="B1406" s="3" t="s">
        <v>318</v>
      </c>
      <c r="C1406" s="19" t="s">
        <v>47</v>
      </c>
      <c r="D1406" s="19" t="s">
        <v>16</v>
      </c>
      <c r="E1406" s="3" t="s">
        <v>340</v>
      </c>
      <c r="F1406" s="19"/>
      <c r="G1406" s="47">
        <f t="shared" si="13"/>
        <v>466.7</v>
      </c>
    </row>
    <row r="1407" spans="1:7" ht="30" x14ac:dyDescent="0.2">
      <c r="A1407" s="44" t="s">
        <v>102</v>
      </c>
      <c r="B1407" s="3" t="s">
        <v>318</v>
      </c>
      <c r="C1407" s="19" t="s">
        <v>47</v>
      </c>
      <c r="D1407" s="19" t="s">
        <v>16</v>
      </c>
      <c r="E1407" s="3" t="s">
        <v>340</v>
      </c>
      <c r="F1407" s="19" t="s">
        <v>101</v>
      </c>
      <c r="G1407" s="47">
        <v>466.7</v>
      </c>
    </row>
    <row r="1408" spans="1:7" x14ac:dyDescent="0.2">
      <c r="A1408" s="18"/>
      <c r="B1408" s="3"/>
      <c r="C1408" s="3"/>
      <c r="D1408" s="3"/>
      <c r="E1408" s="3"/>
      <c r="F1408" s="3"/>
      <c r="G1408" s="31"/>
    </row>
    <row r="1409" spans="1:7" ht="42.75" x14ac:dyDescent="0.2">
      <c r="A1409" s="6" t="s">
        <v>92</v>
      </c>
      <c r="B1409" s="17">
        <v>853</v>
      </c>
      <c r="C1409" s="17"/>
      <c r="D1409" s="17"/>
      <c r="E1409" s="17"/>
      <c r="F1409" s="17"/>
      <c r="G1409" s="33">
        <f>G1410+G1449+G1442+G1455+G1463+G1477+G1470</f>
        <v>612606.69999999995</v>
      </c>
    </row>
    <row r="1410" spans="1:7" x14ac:dyDescent="0.2">
      <c r="A1410" s="1" t="s">
        <v>5</v>
      </c>
      <c r="B1410" s="3" t="s">
        <v>319</v>
      </c>
      <c r="C1410" s="3" t="s">
        <v>6</v>
      </c>
      <c r="D1410" s="3"/>
      <c r="E1410" s="3"/>
      <c r="F1410" s="3"/>
      <c r="G1410" s="8">
        <f>G1411+G1417</f>
        <v>86817.3</v>
      </c>
    </row>
    <row r="1411" spans="1:7" ht="45" x14ac:dyDescent="0.2">
      <c r="A1411" s="9" t="s">
        <v>26</v>
      </c>
      <c r="B1411" s="3" t="s">
        <v>319</v>
      </c>
      <c r="C1411" s="10" t="s">
        <v>6</v>
      </c>
      <c r="D1411" s="10" t="s">
        <v>7</v>
      </c>
      <c r="E1411" s="11"/>
      <c r="F1411" s="10"/>
      <c r="G1411" s="31">
        <f>G1412</f>
        <v>71419.199999999997</v>
      </c>
    </row>
    <row r="1412" spans="1:7" x14ac:dyDescent="0.2">
      <c r="A1412" s="54" t="s">
        <v>115</v>
      </c>
      <c r="B1412" s="3" t="s">
        <v>319</v>
      </c>
      <c r="C1412" s="55" t="s">
        <v>6</v>
      </c>
      <c r="D1412" s="55" t="s">
        <v>7</v>
      </c>
      <c r="E1412" s="55" t="s">
        <v>122</v>
      </c>
      <c r="F1412" s="3"/>
      <c r="G1412" s="47">
        <f>G1413</f>
        <v>71419.199999999997</v>
      </c>
    </row>
    <row r="1413" spans="1:7" x14ac:dyDescent="0.2">
      <c r="A1413" s="20" t="s">
        <v>8</v>
      </c>
      <c r="B1413" s="3" t="s">
        <v>319</v>
      </c>
      <c r="C1413" s="19" t="s">
        <v>6</v>
      </c>
      <c r="D1413" s="55" t="s">
        <v>7</v>
      </c>
      <c r="E1413" s="55" t="s">
        <v>123</v>
      </c>
      <c r="F1413" s="19"/>
      <c r="G1413" s="47">
        <f>SUM(G1414:G1416)</f>
        <v>71419.199999999997</v>
      </c>
    </row>
    <row r="1414" spans="1:7" ht="60" x14ac:dyDescent="0.2">
      <c r="A1414" s="44" t="s">
        <v>108</v>
      </c>
      <c r="B1414" s="3" t="s">
        <v>319</v>
      </c>
      <c r="C1414" s="19" t="s">
        <v>6</v>
      </c>
      <c r="D1414" s="55" t="s">
        <v>7</v>
      </c>
      <c r="E1414" s="55" t="s">
        <v>123</v>
      </c>
      <c r="F1414" s="19" t="s">
        <v>103</v>
      </c>
      <c r="G1414" s="47">
        <f>43472.2+4434.6+10020.9+4188.2</f>
        <v>62115.899999999994</v>
      </c>
    </row>
    <row r="1415" spans="1:7" ht="30" x14ac:dyDescent="0.2">
      <c r="A1415" s="44" t="s">
        <v>102</v>
      </c>
      <c r="B1415" s="3" t="s">
        <v>319</v>
      </c>
      <c r="C1415" s="19" t="s">
        <v>6</v>
      </c>
      <c r="D1415" s="55" t="s">
        <v>7</v>
      </c>
      <c r="E1415" s="55" t="s">
        <v>123</v>
      </c>
      <c r="F1415" s="19" t="s">
        <v>101</v>
      </c>
      <c r="G1415" s="47">
        <f>8344.5+41.6+100+803.9</f>
        <v>9290</v>
      </c>
    </row>
    <row r="1416" spans="1:7" x14ac:dyDescent="0.2">
      <c r="A1416" s="44" t="s">
        <v>109</v>
      </c>
      <c r="B1416" s="3" t="s">
        <v>319</v>
      </c>
      <c r="C1416" s="19" t="s">
        <v>6</v>
      </c>
      <c r="D1416" s="55" t="s">
        <v>7</v>
      </c>
      <c r="E1416" s="55" t="s">
        <v>123</v>
      </c>
      <c r="F1416" s="19" t="s">
        <v>104</v>
      </c>
      <c r="G1416" s="47">
        <v>13.3</v>
      </c>
    </row>
    <row r="1417" spans="1:7" x14ac:dyDescent="0.2">
      <c r="A1417" s="1" t="s">
        <v>42</v>
      </c>
      <c r="B1417" s="3" t="s">
        <v>319</v>
      </c>
      <c r="C1417" s="3" t="s">
        <v>6</v>
      </c>
      <c r="D1417" s="3" t="s">
        <v>50</v>
      </c>
      <c r="E1417" s="3"/>
      <c r="F1417" s="3"/>
      <c r="G1417" s="31">
        <f>G1418+G1429+G1424</f>
        <v>15398.1</v>
      </c>
    </row>
    <row r="1418" spans="1:7" ht="30" x14ac:dyDescent="0.2">
      <c r="A1418" s="1" t="s">
        <v>116</v>
      </c>
      <c r="B1418" s="3" t="s">
        <v>319</v>
      </c>
      <c r="C1418" s="3" t="s">
        <v>6</v>
      </c>
      <c r="D1418" s="3" t="s">
        <v>50</v>
      </c>
      <c r="E1418" s="3" t="s">
        <v>139</v>
      </c>
      <c r="F1418" s="3"/>
      <c r="G1418" s="31">
        <f>G1419</f>
        <v>3764.6000000000004</v>
      </c>
    </row>
    <row r="1419" spans="1:7" ht="30" x14ac:dyDescent="0.2">
      <c r="A1419" s="1" t="s">
        <v>140</v>
      </c>
      <c r="B1419" s="3" t="s">
        <v>319</v>
      </c>
      <c r="C1419" s="3" t="s">
        <v>6</v>
      </c>
      <c r="D1419" s="3" t="s">
        <v>50</v>
      </c>
      <c r="E1419" s="3" t="s">
        <v>141</v>
      </c>
      <c r="F1419" s="3"/>
      <c r="G1419" s="31">
        <f>G1420</f>
        <v>3764.6000000000004</v>
      </c>
    </row>
    <row r="1420" spans="1:7" ht="45" x14ac:dyDescent="0.2">
      <c r="A1420" s="1" t="s">
        <v>142</v>
      </c>
      <c r="B1420" s="3" t="s">
        <v>319</v>
      </c>
      <c r="C1420" s="3" t="s">
        <v>6</v>
      </c>
      <c r="D1420" s="3" t="s">
        <v>50</v>
      </c>
      <c r="E1420" s="3" t="s">
        <v>143</v>
      </c>
      <c r="F1420" s="3"/>
      <c r="G1420" s="31">
        <f>G1421</f>
        <v>3764.6000000000004</v>
      </c>
    </row>
    <row r="1421" spans="1:7" ht="30" x14ac:dyDescent="0.2">
      <c r="A1421" s="1" t="s">
        <v>144</v>
      </c>
      <c r="B1421" s="3" t="s">
        <v>319</v>
      </c>
      <c r="C1421" s="3" t="s">
        <v>6</v>
      </c>
      <c r="D1421" s="3" t="s">
        <v>50</v>
      </c>
      <c r="E1421" s="3" t="s">
        <v>145</v>
      </c>
      <c r="F1421" s="3"/>
      <c r="G1421" s="31">
        <f>SUM(G1422:G1423)</f>
        <v>3764.6000000000004</v>
      </c>
    </row>
    <row r="1422" spans="1:7" ht="60" x14ac:dyDescent="0.2">
      <c r="A1422" s="44" t="s">
        <v>108</v>
      </c>
      <c r="B1422" s="3" t="s">
        <v>319</v>
      </c>
      <c r="C1422" s="3" t="s">
        <v>6</v>
      </c>
      <c r="D1422" s="3" t="s">
        <v>50</v>
      </c>
      <c r="E1422" s="3" t="s">
        <v>145</v>
      </c>
      <c r="F1422" s="3" t="s">
        <v>103</v>
      </c>
      <c r="G1422" s="31">
        <f>2995.4+467.3</f>
        <v>3462.7000000000003</v>
      </c>
    </row>
    <row r="1423" spans="1:7" ht="30" x14ac:dyDescent="0.2">
      <c r="A1423" s="44" t="s">
        <v>102</v>
      </c>
      <c r="B1423" s="3" t="s">
        <v>319</v>
      </c>
      <c r="C1423" s="3" t="s">
        <v>6</v>
      </c>
      <c r="D1423" s="3" t="s">
        <v>50</v>
      </c>
      <c r="E1423" s="3" t="s">
        <v>145</v>
      </c>
      <c r="F1423" s="3" t="s">
        <v>101</v>
      </c>
      <c r="G1423" s="31">
        <v>301.89999999999998</v>
      </c>
    </row>
    <row r="1424" spans="1:7" ht="45" x14ac:dyDescent="0.2">
      <c r="A1424" s="44" t="s">
        <v>725</v>
      </c>
      <c r="B1424" s="3" t="s">
        <v>319</v>
      </c>
      <c r="C1424" s="3" t="s">
        <v>6</v>
      </c>
      <c r="D1424" s="3" t="s">
        <v>50</v>
      </c>
      <c r="E1424" s="3" t="s">
        <v>729</v>
      </c>
      <c r="F1424" s="3"/>
      <c r="G1424" s="31">
        <f>G1425</f>
        <v>4643</v>
      </c>
    </row>
    <row r="1425" spans="1:7" ht="45" x14ac:dyDescent="0.2">
      <c r="A1425" s="44" t="s">
        <v>726</v>
      </c>
      <c r="B1425" s="3" t="s">
        <v>319</v>
      </c>
      <c r="C1425" s="3" t="s">
        <v>6</v>
      </c>
      <c r="D1425" s="3" t="s">
        <v>50</v>
      </c>
      <c r="E1425" s="3" t="s">
        <v>730</v>
      </c>
      <c r="F1425" s="3"/>
      <c r="G1425" s="31">
        <f>G1426</f>
        <v>4643</v>
      </c>
    </row>
    <row r="1426" spans="1:7" ht="45" x14ac:dyDescent="0.2">
      <c r="A1426" s="44" t="s">
        <v>727</v>
      </c>
      <c r="B1426" s="3" t="s">
        <v>319</v>
      </c>
      <c r="C1426" s="3" t="s">
        <v>6</v>
      </c>
      <c r="D1426" s="3" t="s">
        <v>50</v>
      </c>
      <c r="E1426" s="3" t="s">
        <v>731</v>
      </c>
      <c r="F1426" s="3"/>
      <c r="G1426" s="31">
        <f>G1427</f>
        <v>4643</v>
      </c>
    </row>
    <row r="1427" spans="1:7" ht="45" x14ac:dyDescent="0.2">
      <c r="A1427" s="44" t="s">
        <v>728</v>
      </c>
      <c r="B1427" s="3" t="s">
        <v>319</v>
      </c>
      <c r="C1427" s="3" t="s">
        <v>6</v>
      </c>
      <c r="D1427" s="3" t="s">
        <v>50</v>
      </c>
      <c r="E1427" s="3" t="s">
        <v>732</v>
      </c>
      <c r="F1427" s="3"/>
      <c r="G1427" s="31">
        <f>G1428</f>
        <v>4643</v>
      </c>
    </row>
    <row r="1428" spans="1:7" x14ac:dyDescent="0.2">
      <c r="A1428" s="44" t="s">
        <v>109</v>
      </c>
      <c r="B1428" s="3" t="s">
        <v>319</v>
      </c>
      <c r="C1428" s="3" t="s">
        <v>6</v>
      </c>
      <c r="D1428" s="3" t="s">
        <v>50</v>
      </c>
      <c r="E1428" s="3" t="s">
        <v>732</v>
      </c>
      <c r="F1428" s="3" t="s">
        <v>104</v>
      </c>
      <c r="G1428" s="31">
        <f>2250+2393</f>
        <v>4643</v>
      </c>
    </row>
    <row r="1429" spans="1:7" x14ac:dyDescent="0.2">
      <c r="A1429" s="20" t="s">
        <v>115</v>
      </c>
      <c r="B1429" s="3" t="s">
        <v>319</v>
      </c>
      <c r="C1429" s="3" t="s">
        <v>6</v>
      </c>
      <c r="D1429" s="3" t="s">
        <v>50</v>
      </c>
      <c r="E1429" s="55" t="s">
        <v>122</v>
      </c>
      <c r="F1429" s="19"/>
      <c r="G1429" s="47">
        <f>G1430+G1432+G1435</f>
        <v>6990.5</v>
      </c>
    </row>
    <row r="1430" spans="1:7" x14ac:dyDescent="0.2">
      <c r="A1430" s="44" t="s">
        <v>94</v>
      </c>
      <c r="B1430" s="3" t="s">
        <v>319</v>
      </c>
      <c r="C1430" s="3" t="s">
        <v>6</v>
      </c>
      <c r="D1430" s="3" t="s">
        <v>50</v>
      </c>
      <c r="E1430" s="55" t="s">
        <v>146</v>
      </c>
      <c r="F1430" s="19"/>
      <c r="G1430" s="47">
        <f>G1431</f>
        <v>450</v>
      </c>
    </row>
    <row r="1431" spans="1:7" x14ac:dyDescent="0.2">
      <c r="A1431" s="44" t="s">
        <v>109</v>
      </c>
      <c r="B1431" s="3" t="s">
        <v>319</v>
      </c>
      <c r="C1431" s="3" t="s">
        <v>6</v>
      </c>
      <c r="D1431" s="3" t="s">
        <v>50</v>
      </c>
      <c r="E1431" s="55" t="s">
        <v>146</v>
      </c>
      <c r="F1431" s="19" t="s">
        <v>104</v>
      </c>
      <c r="G1431" s="47">
        <v>450</v>
      </c>
    </row>
    <row r="1432" spans="1:7" ht="45" x14ac:dyDescent="0.2">
      <c r="A1432" s="45" t="s">
        <v>62</v>
      </c>
      <c r="B1432" s="3" t="s">
        <v>319</v>
      </c>
      <c r="C1432" s="3" t="s">
        <v>6</v>
      </c>
      <c r="D1432" s="3" t="s">
        <v>50</v>
      </c>
      <c r="E1432" s="3" t="s">
        <v>124</v>
      </c>
      <c r="F1432" s="19"/>
      <c r="G1432" s="47">
        <f>G1433+G1434</f>
        <v>1770.6000000000001</v>
      </c>
    </row>
    <row r="1433" spans="1:7" ht="60" x14ac:dyDescent="0.2">
      <c r="A1433" s="44" t="s">
        <v>108</v>
      </c>
      <c r="B1433" s="3" t="s">
        <v>319</v>
      </c>
      <c r="C1433" s="3" t="s">
        <v>6</v>
      </c>
      <c r="D1433" s="3" t="s">
        <v>50</v>
      </c>
      <c r="E1433" s="3" t="s">
        <v>124</v>
      </c>
      <c r="F1433" s="19" t="s">
        <v>103</v>
      </c>
      <c r="G1433" s="47">
        <f>1202.9+393.7+33.6</f>
        <v>1630.2</v>
      </c>
    </row>
    <row r="1434" spans="1:7" ht="30" x14ac:dyDescent="0.2">
      <c r="A1434" s="44" t="s">
        <v>102</v>
      </c>
      <c r="B1434" s="3" t="s">
        <v>319</v>
      </c>
      <c r="C1434" s="3" t="s">
        <v>6</v>
      </c>
      <c r="D1434" s="3" t="s">
        <v>50</v>
      </c>
      <c r="E1434" s="3" t="s">
        <v>124</v>
      </c>
      <c r="F1434" s="19" t="s">
        <v>101</v>
      </c>
      <c r="G1434" s="47">
        <v>140.4</v>
      </c>
    </row>
    <row r="1435" spans="1:7" ht="30" x14ac:dyDescent="0.2">
      <c r="A1435" s="45" t="s">
        <v>100</v>
      </c>
      <c r="B1435" s="3" t="s">
        <v>319</v>
      </c>
      <c r="C1435" s="3" t="s">
        <v>6</v>
      </c>
      <c r="D1435" s="3" t="s">
        <v>50</v>
      </c>
      <c r="E1435" s="19" t="s">
        <v>126</v>
      </c>
      <c r="F1435" s="19"/>
      <c r="G1435" s="47">
        <f>G1436+G1438+G1440</f>
        <v>4769.8999999999996</v>
      </c>
    </row>
    <row r="1436" spans="1:7" ht="30" x14ac:dyDescent="0.2">
      <c r="A1436" s="44" t="s">
        <v>707</v>
      </c>
      <c r="B1436" s="3" t="s">
        <v>319</v>
      </c>
      <c r="C1436" s="3" t="s">
        <v>6</v>
      </c>
      <c r="D1436" s="3" t="s">
        <v>50</v>
      </c>
      <c r="E1436" s="19" t="s">
        <v>708</v>
      </c>
      <c r="F1436" s="19"/>
      <c r="G1436" s="47">
        <f>G1437</f>
        <v>433.4</v>
      </c>
    </row>
    <row r="1437" spans="1:7" ht="60" x14ac:dyDescent="0.2">
      <c r="A1437" s="44" t="s">
        <v>108</v>
      </c>
      <c r="B1437" s="3" t="s">
        <v>319</v>
      </c>
      <c r="C1437" s="3" t="s">
        <v>6</v>
      </c>
      <c r="D1437" s="3" t="s">
        <v>50</v>
      </c>
      <c r="E1437" s="19" t="s">
        <v>708</v>
      </c>
      <c r="F1437" s="19" t="s">
        <v>103</v>
      </c>
      <c r="G1437" s="47">
        <f>121.4+300.4+11.6</f>
        <v>433.4</v>
      </c>
    </row>
    <row r="1438" spans="1:7" x14ac:dyDescent="0.2">
      <c r="A1438" s="45" t="s">
        <v>42</v>
      </c>
      <c r="B1438" s="3" t="s">
        <v>319</v>
      </c>
      <c r="C1438" s="3" t="s">
        <v>6</v>
      </c>
      <c r="D1438" s="3" t="s">
        <v>50</v>
      </c>
      <c r="E1438" s="19" t="s">
        <v>461</v>
      </c>
      <c r="F1438" s="19"/>
      <c r="G1438" s="47">
        <f>G1439</f>
        <v>1860</v>
      </c>
    </row>
    <row r="1439" spans="1:7" ht="30" x14ac:dyDescent="0.2">
      <c r="A1439" s="44" t="s">
        <v>102</v>
      </c>
      <c r="B1439" s="3" t="s">
        <v>319</v>
      </c>
      <c r="C1439" s="3" t="s">
        <v>6</v>
      </c>
      <c r="D1439" s="3" t="s">
        <v>50</v>
      </c>
      <c r="E1439" s="19" t="s">
        <v>461</v>
      </c>
      <c r="F1439" s="19" t="s">
        <v>101</v>
      </c>
      <c r="G1439" s="47">
        <v>1860</v>
      </c>
    </row>
    <row r="1440" spans="1:7" ht="30" x14ac:dyDescent="0.2">
      <c r="A1440" s="44" t="s">
        <v>516</v>
      </c>
      <c r="B1440" s="3" t="s">
        <v>319</v>
      </c>
      <c r="C1440" s="3" t="s">
        <v>6</v>
      </c>
      <c r="D1440" s="3" t="s">
        <v>50</v>
      </c>
      <c r="E1440" s="19" t="s">
        <v>517</v>
      </c>
      <c r="F1440" s="19"/>
      <c r="G1440" s="47">
        <f>G1441</f>
        <v>2476.5</v>
      </c>
    </row>
    <row r="1441" spans="1:7" ht="60" x14ac:dyDescent="0.2">
      <c r="A1441" s="44" t="s">
        <v>108</v>
      </c>
      <c r="B1441" s="3" t="s">
        <v>319</v>
      </c>
      <c r="C1441" s="3" t="s">
        <v>6</v>
      </c>
      <c r="D1441" s="3" t="s">
        <v>50</v>
      </c>
      <c r="E1441" s="19" t="s">
        <v>517</v>
      </c>
      <c r="F1441" s="19" t="s">
        <v>103</v>
      </c>
      <c r="G1441" s="47">
        <f>1017.6+405.4+1013.9+39.6</f>
        <v>2476.5</v>
      </c>
    </row>
    <row r="1442" spans="1:7" x14ac:dyDescent="0.2">
      <c r="A1442" s="9" t="s">
        <v>14</v>
      </c>
      <c r="B1442" s="3" t="s">
        <v>319</v>
      </c>
      <c r="C1442" s="3" t="s">
        <v>15</v>
      </c>
      <c r="D1442" s="3"/>
      <c r="E1442" s="3"/>
      <c r="F1442" s="3"/>
      <c r="G1442" s="32">
        <f>G1443</f>
        <v>29894.000000000004</v>
      </c>
    </row>
    <row r="1443" spans="1:7" ht="30" x14ac:dyDescent="0.2">
      <c r="A1443" s="9" t="s">
        <v>151</v>
      </c>
      <c r="B1443" s="3" t="s">
        <v>319</v>
      </c>
      <c r="C1443" s="3" t="s">
        <v>15</v>
      </c>
      <c r="D1443" s="3" t="s">
        <v>27</v>
      </c>
      <c r="E1443" s="3"/>
      <c r="F1443" s="3"/>
      <c r="G1443" s="32">
        <f>G1444</f>
        <v>29894.000000000004</v>
      </c>
    </row>
    <row r="1444" spans="1:7" ht="30" x14ac:dyDescent="0.2">
      <c r="A1444" s="44" t="s">
        <v>462</v>
      </c>
      <c r="B1444" s="3" t="s">
        <v>319</v>
      </c>
      <c r="C1444" s="3" t="s">
        <v>15</v>
      </c>
      <c r="D1444" s="3" t="s">
        <v>27</v>
      </c>
      <c r="E1444" s="3" t="s">
        <v>464</v>
      </c>
      <c r="F1444" s="19"/>
      <c r="G1444" s="28">
        <f>G1445</f>
        <v>29894.000000000004</v>
      </c>
    </row>
    <row r="1445" spans="1:7" ht="45" x14ac:dyDescent="0.2">
      <c r="A1445" s="45" t="s">
        <v>469</v>
      </c>
      <c r="B1445" s="3" t="s">
        <v>319</v>
      </c>
      <c r="C1445" s="19" t="s">
        <v>15</v>
      </c>
      <c r="D1445" s="19" t="s">
        <v>27</v>
      </c>
      <c r="E1445" s="3" t="s">
        <v>465</v>
      </c>
      <c r="F1445" s="19"/>
      <c r="G1445" s="28">
        <f>G1446</f>
        <v>29894.000000000004</v>
      </c>
    </row>
    <row r="1446" spans="1:7" ht="30" x14ac:dyDescent="0.2">
      <c r="A1446" s="44" t="s">
        <v>466</v>
      </c>
      <c r="B1446" s="3" t="s">
        <v>319</v>
      </c>
      <c r="C1446" s="19" t="s">
        <v>15</v>
      </c>
      <c r="D1446" s="19" t="s">
        <v>27</v>
      </c>
      <c r="E1446" s="3" t="s">
        <v>467</v>
      </c>
      <c r="F1446" s="19"/>
      <c r="G1446" s="28">
        <f>G1447+G1448</f>
        <v>29894.000000000004</v>
      </c>
    </row>
    <row r="1447" spans="1:7" ht="60" x14ac:dyDescent="0.2">
      <c r="A1447" s="44" t="s">
        <v>108</v>
      </c>
      <c r="B1447" s="3" t="s">
        <v>319</v>
      </c>
      <c r="C1447" s="19" t="s">
        <v>15</v>
      </c>
      <c r="D1447" s="19" t="s">
        <v>27</v>
      </c>
      <c r="E1447" s="19" t="s">
        <v>467</v>
      </c>
      <c r="F1447" s="19" t="s">
        <v>103</v>
      </c>
      <c r="G1447" s="28">
        <f>18181.5+2035.2+4372.1+4723</f>
        <v>29311.800000000003</v>
      </c>
    </row>
    <row r="1448" spans="1:7" ht="30" x14ac:dyDescent="0.2">
      <c r="A1448" s="44" t="s">
        <v>102</v>
      </c>
      <c r="B1448" s="3" t="s">
        <v>319</v>
      </c>
      <c r="C1448" s="19" t="s">
        <v>15</v>
      </c>
      <c r="D1448" s="19" t="s">
        <v>27</v>
      </c>
      <c r="E1448" s="19" t="s">
        <v>467</v>
      </c>
      <c r="F1448" s="19" t="s">
        <v>101</v>
      </c>
      <c r="G1448" s="28">
        <f>126.5+455.7</f>
        <v>582.20000000000005</v>
      </c>
    </row>
    <row r="1449" spans="1:7" x14ac:dyDescent="0.2">
      <c r="A1449" s="1" t="s">
        <v>19</v>
      </c>
      <c r="B1449" s="3" t="s">
        <v>319</v>
      </c>
      <c r="C1449" s="3" t="s">
        <v>7</v>
      </c>
      <c r="D1449" s="3"/>
      <c r="E1449" s="3"/>
      <c r="F1449" s="3"/>
      <c r="G1449" s="8">
        <f>G1450</f>
        <v>455438</v>
      </c>
    </row>
    <row r="1450" spans="1:7" x14ac:dyDescent="0.2">
      <c r="A1450" s="1" t="s">
        <v>121</v>
      </c>
      <c r="B1450" s="3" t="s">
        <v>319</v>
      </c>
      <c r="C1450" s="3" t="s">
        <v>7</v>
      </c>
      <c r="D1450" s="3" t="s">
        <v>17</v>
      </c>
      <c r="E1450" s="3"/>
      <c r="F1450" s="3"/>
      <c r="G1450" s="8">
        <f>G1451</f>
        <v>455438</v>
      </c>
    </row>
    <row r="1451" spans="1:7" ht="30" x14ac:dyDescent="0.2">
      <c r="A1451" s="1" t="s">
        <v>127</v>
      </c>
      <c r="B1451" s="3" t="s">
        <v>319</v>
      </c>
      <c r="C1451" s="10" t="s">
        <v>7</v>
      </c>
      <c r="D1451" s="10" t="s">
        <v>17</v>
      </c>
      <c r="E1451" s="3" t="s">
        <v>128</v>
      </c>
      <c r="F1451" s="3"/>
      <c r="G1451" s="31">
        <f>G1452</f>
        <v>455438</v>
      </c>
    </row>
    <row r="1452" spans="1:7" ht="30" x14ac:dyDescent="0.2">
      <c r="A1452" s="44" t="s">
        <v>325</v>
      </c>
      <c r="B1452" s="3" t="s">
        <v>319</v>
      </c>
      <c r="C1452" s="19" t="s">
        <v>7</v>
      </c>
      <c r="D1452" s="19" t="s">
        <v>17</v>
      </c>
      <c r="E1452" s="3" t="s">
        <v>129</v>
      </c>
      <c r="F1452" s="19"/>
      <c r="G1452" s="47">
        <f>G1453</f>
        <v>455438</v>
      </c>
    </row>
    <row r="1453" spans="1:7" ht="45" x14ac:dyDescent="0.2">
      <c r="A1453" s="44" t="s">
        <v>423</v>
      </c>
      <c r="B1453" s="3" t="s">
        <v>319</v>
      </c>
      <c r="C1453" s="19" t="s">
        <v>7</v>
      </c>
      <c r="D1453" s="19" t="s">
        <v>17</v>
      </c>
      <c r="E1453" s="3" t="s">
        <v>326</v>
      </c>
      <c r="F1453" s="19"/>
      <c r="G1453" s="28">
        <f>G1454</f>
        <v>455438</v>
      </c>
    </row>
    <row r="1454" spans="1:7" ht="30" x14ac:dyDescent="0.2">
      <c r="A1454" s="44" t="s">
        <v>102</v>
      </c>
      <c r="B1454" s="3" t="s">
        <v>319</v>
      </c>
      <c r="C1454" s="19" t="s">
        <v>7</v>
      </c>
      <c r="D1454" s="19" t="s">
        <v>17</v>
      </c>
      <c r="E1454" s="3" t="s">
        <v>326</v>
      </c>
      <c r="F1454" s="19" t="s">
        <v>101</v>
      </c>
      <c r="G1454" s="28">
        <v>455438</v>
      </c>
    </row>
    <row r="1455" spans="1:7" x14ac:dyDescent="0.2">
      <c r="A1455" s="1" t="s">
        <v>22</v>
      </c>
      <c r="B1455" s="3" t="s">
        <v>319</v>
      </c>
      <c r="C1455" s="3" t="s">
        <v>9</v>
      </c>
      <c r="D1455" s="3"/>
      <c r="E1455" s="19"/>
      <c r="F1455" s="19"/>
      <c r="G1455" s="31">
        <f>G1456</f>
        <v>39159.699999999997</v>
      </c>
    </row>
    <row r="1456" spans="1:7" x14ac:dyDescent="0.2">
      <c r="A1456" s="9" t="s">
        <v>43</v>
      </c>
      <c r="B1456" s="3" t="s">
        <v>319</v>
      </c>
      <c r="C1456" s="10" t="s">
        <v>9</v>
      </c>
      <c r="D1456" s="10" t="s">
        <v>15</v>
      </c>
      <c r="E1456" s="3"/>
      <c r="F1456" s="10"/>
      <c r="G1456" s="32">
        <f>G1457</f>
        <v>39159.699999999997</v>
      </c>
    </row>
    <row r="1457" spans="1:7" ht="30" x14ac:dyDescent="0.2">
      <c r="A1457" s="1" t="s">
        <v>127</v>
      </c>
      <c r="B1457" s="3" t="s">
        <v>319</v>
      </c>
      <c r="C1457" s="10" t="s">
        <v>9</v>
      </c>
      <c r="D1457" s="10" t="s">
        <v>15</v>
      </c>
      <c r="E1457" s="3" t="s">
        <v>128</v>
      </c>
      <c r="F1457" s="7"/>
      <c r="G1457" s="32">
        <f>G1458</f>
        <v>39159.699999999997</v>
      </c>
    </row>
    <row r="1458" spans="1:7" ht="30" x14ac:dyDescent="0.2">
      <c r="A1458" s="1" t="s">
        <v>331</v>
      </c>
      <c r="B1458" s="3" t="s">
        <v>319</v>
      </c>
      <c r="C1458" s="10" t="s">
        <v>9</v>
      </c>
      <c r="D1458" s="10" t="s">
        <v>15</v>
      </c>
      <c r="E1458" s="3" t="s">
        <v>129</v>
      </c>
      <c r="F1458" s="7"/>
      <c r="G1458" s="32">
        <f>G1459+G1461</f>
        <v>39159.699999999997</v>
      </c>
    </row>
    <row r="1459" spans="1:7" x14ac:dyDescent="0.2">
      <c r="A1459" s="51" t="s">
        <v>327</v>
      </c>
      <c r="B1459" s="3" t="s">
        <v>319</v>
      </c>
      <c r="C1459" s="10" t="s">
        <v>9</v>
      </c>
      <c r="D1459" s="10" t="s">
        <v>15</v>
      </c>
      <c r="E1459" s="3" t="s">
        <v>328</v>
      </c>
      <c r="F1459" s="10"/>
      <c r="G1459" s="32">
        <f>G1460</f>
        <v>11685.7</v>
      </c>
    </row>
    <row r="1460" spans="1:7" ht="30" x14ac:dyDescent="0.2">
      <c r="A1460" s="44" t="s">
        <v>102</v>
      </c>
      <c r="B1460" s="3" t="s">
        <v>319</v>
      </c>
      <c r="C1460" s="19" t="s">
        <v>9</v>
      </c>
      <c r="D1460" s="19" t="s">
        <v>15</v>
      </c>
      <c r="E1460" s="3" t="s">
        <v>328</v>
      </c>
      <c r="F1460" s="10" t="s">
        <v>101</v>
      </c>
      <c r="G1460" s="32">
        <v>11685.7</v>
      </c>
    </row>
    <row r="1461" spans="1:7" ht="30" x14ac:dyDescent="0.2">
      <c r="A1461" s="9" t="s">
        <v>329</v>
      </c>
      <c r="B1461" s="3" t="s">
        <v>319</v>
      </c>
      <c r="C1461" s="23" t="s">
        <v>9</v>
      </c>
      <c r="D1461" s="23" t="s">
        <v>15</v>
      </c>
      <c r="E1461" s="3" t="s">
        <v>330</v>
      </c>
      <c r="F1461" s="10"/>
      <c r="G1461" s="32">
        <f>G1462</f>
        <v>27474</v>
      </c>
    </row>
    <row r="1462" spans="1:7" ht="30" x14ac:dyDescent="0.2">
      <c r="A1462" s="44" t="s">
        <v>102</v>
      </c>
      <c r="B1462" s="3" t="s">
        <v>319</v>
      </c>
      <c r="C1462" s="23" t="s">
        <v>9</v>
      </c>
      <c r="D1462" s="23" t="s">
        <v>15</v>
      </c>
      <c r="E1462" s="3" t="s">
        <v>330</v>
      </c>
      <c r="F1462" s="10" t="s">
        <v>101</v>
      </c>
      <c r="G1462" s="32">
        <f>25493+1850.4+130.6</f>
        <v>27474</v>
      </c>
    </row>
    <row r="1463" spans="1:7" x14ac:dyDescent="0.2">
      <c r="A1463" s="1" t="s">
        <v>29</v>
      </c>
      <c r="B1463" s="3" t="s">
        <v>319</v>
      </c>
      <c r="C1463" s="19" t="s">
        <v>30</v>
      </c>
      <c r="D1463" s="19"/>
      <c r="E1463" s="3"/>
      <c r="F1463" s="19"/>
      <c r="G1463" s="47">
        <f t="shared" ref="G1463:G1464" si="14">G1464</f>
        <v>35</v>
      </c>
    </row>
    <row r="1464" spans="1:7" x14ac:dyDescent="0.2">
      <c r="A1464" s="1" t="s">
        <v>475</v>
      </c>
      <c r="B1464" s="3" t="s">
        <v>319</v>
      </c>
      <c r="C1464" s="3" t="s">
        <v>30</v>
      </c>
      <c r="D1464" s="3" t="s">
        <v>30</v>
      </c>
      <c r="E1464" s="3"/>
      <c r="F1464" s="19"/>
      <c r="G1464" s="47">
        <f t="shared" si="14"/>
        <v>35</v>
      </c>
    </row>
    <row r="1465" spans="1:7" ht="30" x14ac:dyDescent="0.2">
      <c r="A1465" s="44" t="s">
        <v>553</v>
      </c>
      <c r="B1465" s="3" t="s">
        <v>319</v>
      </c>
      <c r="C1465" s="19" t="s">
        <v>30</v>
      </c>
      <c r="D1465" s="19" t="s">
        <v>30</v>
      </c>
      <c r="E1465" s="3" t="s">
        <v>377</v>
      </c>
      <c r="F1465" s="19"/>
      <c r="G1465" s="47">
        <f>G1466</f>
        <v>35</v>
      </c>
    </row>
    <row r="1466" spans="1:7" ht="30" x14ac:dyDescent="0.2">
      <c r="A1466" s="44" t="s">
        <v>130</v>
      </c>
      <c r="B1466" s="3" t="s">
        <v>319</v>
      </c>
      <c r="C1466" s="19" t="s">
        <v>30</v>
      </c>
      <c r="D1466" s="19" t="s">
        <v>30</v>
      </c>
      <c r="E1466" s="3" t="s">
        <v>333</v>
      </c>
      <c r="F1466" s="3"/>
      <c r="G1466" s="47">
        <f>G1467</f>
        <v>35</v>
      </c>
    </row>
    <row r="1467" spans="1:7" ht="30" x14ac:dyDescent="0.2">
      <c r="A1467" s="9" t="s">
        <v>459</v>
      </c>
      <c r="B1467" s="3" t="s">
        <v>319</v>
      </c>
      <c r="C1467" s="19" t="s">
        <v>30</v>
      </c>
      <c r="D1467" s="19" t="s">
        <v>30</v>
      </c>
      <c r="E1467" s="3" t="s">
        <v>334</v>
      </c>
      <c r="F1467" s="19"/>
      <c r="G1467" s="47">
        <f>G1468</f>
        <v>35</v>
      </c>
    </row>
    <row r="1468" spans="1:7" x14ac:dyDescent="0.2">
      <c r="A1468" s="9" t="s">
        <v>460</v>
      </c>
      <c r="B1468" s="3" t="s">
        <v>319</v>
      </c>
      <c r="C1468" s="19" t="s">
        <v>30</v>
      </c>
      <c r="D1468" s="19" t="s">
        <v>30</v>
      </c>
      <c r="E1468" s="3" t="s">
        <v>335</v>
      </c>
      <c r="F1468" s="19"/>
      <c r="G1468" s="47">
        <f>G1469</f>
        <v>35</v>
      </c>
    </row>
    <row r="1469" spans="1:7" ht="30" x14ac:dyDescent="0.2">
      <c r="A1469" s="44" t="s">
        <v>102</v>
      </c>
      <c r="B1469" s="3" t="s">
        <v>319</v>
      </c>
      <c r="C1469" s="19" t="s">
        <v>30</v>
      </c>
      <c r="D1469" s="19" t="s">
        <v>30</v>
      </c>
      <c r="E1469" s="3" t="s">
        <v>335</v>
      </c>
      <c r="F1469" s="19" t="s">
        <v>101</v>
      </c>
      <c r="G1469" s="47">
        <v>35</v>
      </c>
    </row>
    <row r="1470" spans="1:7" x14ac:dyDescent="0.2">
      <c r="A1470" s="9" t="s">
        <v>182</v>
      </c>
      <c r="B1470" s="3" t="s">
        <v>319</v>
      </c>
      <c r="C1470" s="19" t="s">
        <v>21</v>
      </c>
      <c r="D1470" s="19"/>
      <c r="E1470" s="3"/>
      <c r="F1470" s="19"/>
      <c r="G1470" s="47">
        <f t="shared" ref="G1470:G1475" si="15">G1471</f>
        <v>796</v>
      </c>
    </row>
    <row r="1471" spans="1:7" x14ac:dyDescent="0.2">
      <c r="A1471" s="1" t="s">
        <v>183</v>
      </c>
      <c r="B1471" s="3" t="s">
        <v>319</v>
      </c>
      <c r="C1471" s="19" t="s">
        <v>21</v>
      </c>
      <c r="D1471" s="19" t="s">
        <v>6</v>
      </c>
      <c r="E1471" s="3"/>
      <c r="F1471" s="19"/>
      <c r="G1471" s="47">
        <f t="shared" si="15"/>
        <v>796</v>
      </c>
    </row>
    <row r="1472" spans="1:7" ht="30" x14ac:dyDescent="0.2">
      <c r="A1472" s="44" t="s">
        <v>551</v>
      </c>
      <c r="B1472" s="3" t="s">
        <v>319</v>
      </c>
      <c r="C1472" s="19" t="s">
        <v>21</v>
      </c>
      <c r="D1472" s="19" t="s">
        <v>6</v>
      </c>
      <c r="E1472" s="57" t="s">
        <v>161</v>
      </c>
      <c r="F1472" s="19"/>
      <c r="G1472" s="47">
        <f t="shared" si="15"/>
        <v>796</v>
      </c>
    </row>
    <row r="1473" spans="1:7" x14ac:dyDescent="0.2">
      <c r="A1473" s="20" t="s">
        <v>162</v>
      </c>
      <c r="B1473" s="3" t="s">
        <v>319</v>
      </c>
      <c r="C1473" s="19" t="s">
        <v>21</v>
      </c>
      <c r="D1473" s="19" t="s">
        <v>6</v>
      </c>
      <c r="E1473" s="19" t="s">
        <v>163</v>
      </c>
      <c r="F1473" s="19"/>
      <c r="G1473" s="47">
        <f t="shared" si="15"/>
        <v>796</v>
      </c>
    </row>
    <row r="1474" spans="1:7" ht="30" x14ac:dyDescent="0.2">
      <c r="A1474" s="20" t="s">
        <v>210</v>
      </c>
      <c r="B1474" s="3" t="s">
        <v>319</v>
      </c>
      <c r="C1474" s="3" t="s">
        <v>21</v>
      </c>
      <c r="D1474" s="3" t="s">
        <v>6</v>
      </c>
      <c r="E1474" s="19" t="s">
        <v>211</v>
      </c>
      <c r="F1474" s="3"/>
      <c r="G1474" s="47">
        <f t="shared" si="15"/>
        <v>796</v>
      </c>
    </row>
    <row r="1475" spans="1:7" x14ac:dyDescent="0.2">
      <c r="A1475" s="20" t="s">
        <v>212</v>
      </c>
      <c r="B1475" s="3" t="s">
        <v>319</v>
      </c>
      <c r="C1475" s="3" t="s">
        <v>21</v>
      </c>
      <c r="D1475" s="3" t="s">
        <v>6</v>
      </c>
      <c r="E1475" s="19" t="s">
        <v>213</v>
      </c>
      <c r="F1475" s="3"/>
      <c r="G1475" s="47">
        <f t="shared" si="15"/>
        <v>796</v>
      </c>
    </row>
    <row r="1476" spans="1:7" ht="30" x14ac:dyDescent="0.2">
      <c r="A1476" s="44" t="s">
        <v>102</v>
      </c>
      <c r="B1476" s="3" t="s">
        <v>319</v>
      </c>
      <c r="C1476" s="3" t="s">
        <v>21</v>
      </c>
      <c r="D1476" s="3" t="s">
        <v>6</v>
      </c>
      <c r="E1476" s="19" t="s">
        <v>213</v>
      </c>
      <c r="F1476" s="3" t="s">
        <v>101</v>
      </c>
      <c r="G1476" s="47">
        <f>1362.8-566.8</f>
        <v>796</v>
      </c>
    </row>
    <row r="1477" spans="1:7" x14ac:dyDescent="0.2">
      <c r="A1477" s="1" t="s">
        <v>28</v>
      </c>
      <c r="B1477" s="3" t="s">
        <v>319</v>
      </c>
      <c r="C1477" s="3" t="s">
        <v>47</v>
      </c>
      <c r="D1477" s="3"/>
      <c r="E1477" s="3"/>
      <c r="F1477" s="3"/>
      <c r="G1477" s="32">
        <f t="shared" ref="G1477:G1482" si="16">G1478</f>
        <v>466.7</v>
      </c>
    </row>
    <row r="1478" spans="1:7" x14ac:dyDescent="0.2">
      <c r="A1478" s="68" t="s">
        <v>52</v>
      </c>
      <c r="B1478" s="3" t="s">
        <v>319</v>
      </c>
      <c r="C1478" s="3" t="s">
        <v>47</v>
      </c>
      <c r="D1478" s="3" t="s">
        <v>16</v>
      </c>
      <c r="E1478" s="3"/>
      <c r="F1478" s="3"/>
      <c r="G1478" s="32">
        <f t="shared" si="16"/>
        <v>466.7</v>
      </c>
    </row>
    <row r="1479" spans="1:7" ht="30" x14ac:dyDescent="0.2">
      <c r="A1479" s="44" t="s">
        <v>552</v>
      </c>
      <c r="B1479" s="3" t="s">
        <v>319</v>
      </c>
      <c r="C1479" s="19" t="s">
        <v>47</v>
      </c>
      <c r="D1479" s="19" t="s">
        <v>16</v>
      </c>
      <c r="E1479" s="3" t="s">
        <v>336</v>
      </c>
      <c r="F1479" s="19"/>
      <c r="G1479" s="28">
        <f t="shared" si="16"/>
        <v>466.7</v>
      </c>
    </row>
    <row r="1480" spans="1:7" ht="30" x14ac:dyDescent="0.2">
      <c r="A1480" s="9" t="s">
        <v>152</v>
      </c>
      <c r="B1480" s="3" t="s">
        <v>319</v>
      </c>
      <c r="C1480" s="19" t="s">
        <v>47</v>
      </c>
      <c r="D1480" s="19" t="s">
        <v>16</v>
      </c>
      <c r="E1480" s="3" t="s">
        <v>341</v>
      </c>
      <c r="F1480" s="19"/>
      <c r="G1480" s="47">
        <f t="shared" si="16"/>
        <v>466.7</v>
      </c>
    </row>
    <row r="1481" spans="1:7" ht="30" x14ac:dyDescent="0.2">
      <c r="A1481" s="44" t="s">
        <v>337</v>
      </c>
      <c r="B1481" s="3" t="s">
        <v>319</v>
      </c>
      <c r="C1481" s="19" t="s">
        <v>47</v>
      </c>
      <c r="D1481" s="19" t="s">
        <v>16</v>
      </c>
      <c r="E1481" s="3" t="s">
        <v>338</v>
      </c>
      <c r="F1481" s="19"/>
      <c r="G1481" s="47">
        <f t="shared" si="16"/>
        <v>466.7</v>
      </c>
    </row>
    <row r="1482" spans="1:7" ht="30" x14ac:dyDescent="0.2">
      <c r="A1482" s="44" t="s">
        <v>339</v>
      </c>
      <c r="B1482" s="3" t="s">
        <v>319</v>
      </c>
      <c r="C1482" s="19" t="s">
        <v>47</v>
      </c>
      <c r="D1482" s="19" t="s">
        <v>16</v>
      </c>
      <c r="E1482" s="3" t="s">
        <v>340</v>
      </c>
      <c r="F1482" s="19"/>
      <c r="G1482" s="47">
        <f t="shared" si="16"/>
        <v>466.7</v>
      </c>
    </row>
    <row r="1483" spans="1:7" ht="30" x14ac:dyDescent="0.2">
      <c r="A1483" s="44" t="s">
        <v>102</v>
      </c>
      <c r="B1483" s="3" t="s">
        <v>319</v>
      </c>
      <c r="C1483" s="19" t="s">
        <v>47</v>
      </c>
      <c r="D1483" s="19" t="s">
        <v>16</v>
      </c>
      <c r="E1483" s="3" t="s">
        <v>340</v>
      </c>
      <c r="F1483" s="19" t="s">
        <v>101</v>
      </c>
      <c r="G1483" s="47">
        <v>466.7</v>
      </c>
    </row>
    <row r="1484" spans="1:7" x14ac:dyDescent="0.2">
      <c r="A1484" s="43"/>
      <c r="B1484" s="36"/>
      <c r="C1484" s="36"/>
      <c r="D1484" s="29"/>
      <c r="E1484" s="29"/>
      <c r="F1484" s="29"/>
      <c r="G1484" s="29"/>
    </row>
    <row r="1485" spans="1:7" ht="42.75" x14ac:dyDescent="0.2">
      <c r="A1485" s="6" t="s">
        <v>93</v>
      </c>
      <c r="B1485" s="17">
        <v>854</v>
      </c>
      <c r="C1485" s="17"/>
      <c r="D1485" s="17"/>
      <c r="E1485" s="17"/>
      <c r="F1485" s="17"/>
      <c r="G1485" s="33">
        <f>G1486+G1527+G1520+G1533+G1544+G1562+G1551</f>
        <v>408495.4</v>
      </c>
    </row>
    <row r="1486" spans="1:7" x14ac:dyDescent="0.2">
      <c r="A1486" s="1" t="s">
        <v>5</v>
      </c>
      <c r="B1486" s="3" t="s">
        <v>320</v>
      </c>
      <c r="C1486" s="3" t="s">
        <v>6</v>
      </c>
      <c r="D1486" s="3"/>
      <c r="E1486" s="3"/>
      <c r="F1486" s="3"/>
      <c r="G1486" s="8">
        <f>G1487+G1493</f>
        <v>87726.799999999988</v>
      </c>
    </row>
    <row r="1487" spans="1:7" ht="45" x14ac:dyDescent="0.2">
      <c r="A1487" s="9" t="s">
        <v>26</v>
      </c>
      <c r="B1487" s="3" t="s">
        <v>320</v>
      </c>
      <c r="C1487" s="10" t="s">
        <v>6</v>
      </c>
      <c r="D1487" s="10" t="s">
        <v>7</v>
      </c>
      <c r="E1487" s="11"/>
      <c r="F1487" s="10"/>
      <c r="G1487" s="31">
        <f>G1488</f>
        <v>70279.099999999991</v>
      </c>
    </row>
    <row r="1488" spans="1:7" x14ac:dyDescent="0.2">
      <c r="A1488" s="54" t="s">
        <v>115</v>
      </c>
      <c r="B1488" s="3" t="s">
        <v>320</v>
      </c>
      <c r="C1488" s="55" t="s">
        <v>6</v>
      </c>
      <c r="D1488" s="55" t="s">
        <v>7</v>
      </c>
      <c r="E1488" s="55" t="s">
        <v>122</v>
      </c>
      <c r="F1488" s="3"/>
      <c r="G1488" s="47">
        <f>G1489</f>
        <v>70279.099999999991</v>
      </c>
    </row>
    <row r="1489" spans="1:7" x14ac:dyDescent="0.2">
      <c r="A1489" s="20" t="s">
        <v>8</v>
      </c>
      <c r="B1489" s="3" t="s">
        <v>320</v>
      </c>
      <c r="C1489" s="19" t="s">
        <v>6</v>
      </c>
      <c r="D1489" s="55" t="s">
        <v>7</v>
      </c>
      <c r="E1489" s="55" t="s">
        <v>123</v>
      </c>
      <c r="F1489" s="19"/>
      <c r="G1489" s="47">
        <f>SUM(G1490:G1492)</f>
        <v>70279.099999999991</v>
      </c>
    </row>
    <row r="1490" spans="1:7" ht="60" x14ac:dyDescent="0.2">
      <c r="A1490" s="44" t="s">
        <v>108</v>
      </c>
      <c r="B1490" s="3" t="s">
        <v>320</v>
      </c>
      <c r="C1490" s="19" t="s">
        <v>6</v>
      </c>
      <c r="D1490" s="55" t="s">
        <v>7</v>
      </c>
      <c r="E1490" s="55" t="s">
        <v>123</v>
      </c>
      <c r="F1490" s="19" t="s">
        <v>103</v>
      </c>
      <c r="G1490" s="47">
        <f>41973.2+4205.2+9443.6+3984.8</f>
        <v>59606.799999999996</v>
      </c>
    </row>
    <row r="1491" spans="1:7" ht="30" x14ac:dyDescent="0.2">
      <c r="A1491" s="44" t="s">
        <v>102</v>
      </c>
      <c r="B1491" s="3" t="s">
        <v>320</v>
      </c>
      <c r="C1491" s="19" t="s">
        <v>6</v>
      </c>
      <c r="D1491" s="55" t="s">
        <v>7</v>
      </c>
      <c r="E1491" s="55" t="s">
        <v>123</v>
      </c>
      <c r="F1491" s="19" t="s">
        <v>101</v>
      </c>
      <c r="G1491" s="47">
        <f>10514+139</f>
        <v>10653</v>
      </c>
    </row>
    <row r="1492" spans="1:7" x14ac:dyDescent="0.2">
      <c r="A1492" s="44" t="s">
        <v>109</v>
      </c>
      <c r="B1492" s="3" t="s">
        <v>320</v>
      </c>
      <c r="C1492" s="19" t="s">
        <v>6</v>
      </c>
      <c r="D1492" s="55" t="s">
        <v>7</v>
      </c>
      <c r="E1492" s="55" t="s">
        <v>123</v>
      </c>
      <c r="F1492" s="19" t="s">
        <v>104</v>
      </c>
      <c r="G1492" s="47">
        <v>19.3</v>
      </c>
    </row>
    <row r="1493" spans="1:7" x14ac:dyDescent="0.2">
      <c r="A1493" s="1" t="s">
        <v>42</v>
      </c>
      <c r="B1493" s="3" t="s">
        <v>320</v>
      </c>
      <c r="C1493" s="3" t="s">
        <v>6</v>
      </c>
      <c r="D1493" s="3" t="s">
        <v>50</v>
      </c>
      <c r="E1493" s="3"/>
      <c r="F1493" s="3"/>
      <c r="G1493" s="31">
        <f>G1494+G1505+G1500</f>
        <v>17447.7</v>
      </c>
    </row>
    <row r="1494" spans="1:7" ht="30" x14ac:dyDescent="0.2">
      <c r="A1494" s="1" t="s">
        <v>116</v>
      </c>
      <c r="B1494" s="3" t="s">
        <v>320</v>
      </c>
      <c r="C1494" s="3" t="s">
        <v>6</v>
      </c>
      <c r="D1494" s="3" t="s">
        <v>50</v>
      </c>
      <c r="E1494" s="3" t="s">
        <v>139</v>
      </c>
      <c r="F1494" s="3"/>
      <c r="G1494" s="31">
        <f>G1495</f>
        <v>3091.7</v>
      </c>
    </row>
    <row r="1495" spans="1:7" ht="30" x14ac:dyDescent="0.2">
      <c r="A1495" s="1" t="s">
        <v>140</v>
      </c>
      <c r="B1495" s="3" t="s">
        <v>320</v>
      </c>
      <c r="C1495" s="3" t="s">
        <v>6</v>
      </c>
      <c r="D1495" s="3" t="s">
        <v>50</v>
      </c>
      <c r="E1495" s="3" t="s">
        <v>141</v>
      </c>
      <c r="F1495" s="3"/>
      <c r="G1495" s="31">
        <f>G1496</f>
        <v>3091.7</v>
      </c>
    </row>
    <row r="1496" spans="1:7" ht="45" x14ac:dyDescent="0.2">
      <c r="A1496" s="1" t="s">
        <v>142</v>
      </c>
      <c r="B1496" s="3" t="s">
        <v>320</v>
      </c>
      <c r="C1496" s="3" t="s">
        <v>6</v>
      </c>
      <c r="D1496" s="3" t="s">
        <v>50</v>
      </c>
      <c r="E1496" s="3" t="s">
        <v>143</v>
      </c>
      <c r="F1496" s="3"/>
      <c r="G1496" s="31">
        <f>G1497</f>
        <v>3091.7</v>
      </c>
    </row>
    <row r="1497" spans="1:7" ht="30" x14ac:dyDescent="0.2">
      <c r="A1497" s="1" t="s">
        <v>144</v>
      </c>
      <c r="B1497" s="3" t="s">
        <v>320</v>
      </c>
      <c r="C1497" s="3" t="s">
        <v>6</v>
      </c>
      <c r="D1497" s="3" t="s">
        <v>50</v>
      </c>
      <c r="E1497" s="3" t="s">
        <v>145</v>
      </c>
      <c r="F1497" s="3"/>
      <c r="G1497" s="31">
        <f>SUM(G1498:G1499)</f>
        <v>3091.7</v>
      </c>
    </row>
    <row r="1498" spans="1:7" ht="60" x14ac:dyDescent="0.2">
      <c r="A1498" s="44" t="s">
        <v>108</v>
      </c>
      <c r="B1498" s="3" t="s">
        <v>320</v>
      </c>
      <c r="C1498" s="3" t="s">
        <v>6</v>
      </c>
      <c r="D1498" s="3" t="s">
        <v>50</v>
      </c>
      <c r="E1498" s="3" t="s">
        <v>145</v>
      </c>
      <c r="F1498" s="3" t="s">
        <v>103</v>
      </c>
      <c r="G1498" s="31">
        <f>2436.9+385.2</f>
        <v>2822.1</v>
      </c>
    </row>
    <row r="1499" spans="1:7" ht="30" x14ac:dyDescent="0.2">
      <c r="A1499" s="44" t="s">
        <v>102</v>
      </c>
      <c r="B1499" s="3" t="s">
        <v>320</v>
      </c>
      <c r="C1499" s="3" t="s">
        <v>6</v>
      </c>
      <c r="D1499" s="3" t="s">
        <v>50</v>
      </c>
      <c r="E1499" s="3" t="s">
        <v>145</v>
      </c>
      <c r="F1499" s="3" t="s">
        <v>101</v>
      </c>
      <c r="G1499" s="31">
        <v>269.60000000000002</v>
      </c>
    </row>
    <row r="1500" spans="1:7" ht="45" x14ac:dyDescent="0.2">
      <c r="A1500" s="44" t="s">
        <v>725</v>
      </c>
      <c r="B1500" s="3" t="s">
        <v>320</v>
      </c>
      <c r="C1500" s="3" t="s">
        <v>6</v>
      </c>
      <c r="D1500" s="3" t="s">
        <v>50</v>
      </c>
      <c r="E1500" s="3" t="s">
        <v>729</v>
      </c>
      <c r="F1500" s="3"/>
      <c r="G1500" s="31">
        <f>G1501</f>
        <v>6671</v>
      </c>
    </row>
    <row r="1501" spans="1:7" ht="45" x14ac:dyDescent="0.2">
      <c r="A1501" s="44" t="s">
        <v>726</v>
      </c>
      <c r="B1501" s="3" t="s">
        <v>320</v>
      </c>
      <c r="C1501" s="3" t="s">
        <v>6</v>
      </c>
      <c r="D1501" s="3" t="s">
        <v>50</v>
      </c>
      <c r="E1501" s="3" t="s">
        <v>730</v>
      </c>
      <c r="F1501" s="3"/>
      <c r="G1501" s="31">
        <f>G1502</f>
        <v>6671</v>
      </c>
    </row>
    <row r="1502" spans="1:7" ht="45" x14ac:dyDescent="0.2">
      <c r="A1502" s="44" t="s">
        <v>727</v>
      </c>
      <c r="B1502" s="3" t="s">
        <v>320</v>
      </c>
      <c r="C1502" s="3" t="s">
        <v>6</v>
      </c>
      <c r="D1502" s="3" t="s">
        <v>50</v>
      </c>
      <c r="E1502" s="3" t="s">
        <v>731</v>
      </c>
      <c r="F1502" s="3"/>
      <c r="G1502" s="31">
        <f>G1503</f>
        <v>6671</v>
      </c>
    </row>
    <row r="1503" spans="1:7" ht="45" x14ac:dyDescent="0.2">
      <c r="A1503" s="44" t="s">
        <v>728</v>
      </c>
      <c r="B1503" s="3" t="s">
        <v>320</v>
      </c>
      <c r="C1503" s="3" t="s">
        <v>6</v>
      </c>
      <c r="D1503" s="3" t="s">
        <v>50</v>
      </c>
      <c r="E1503" s="3" t="s">
        <v>732</v>
      </c>
      <c r="F1503" s="3"/>
      <c r="G1503" s="31">
        <f>G1504</f>
        <v>6671</v>
      </c>
    </row>
    <row r="1504" spans="1:7" x14ac:dyDescent="0.2">
      <c r="A1504" s="44" t="s">
        <v>109</v>
      </c>
      <c r="B1504" s="3" t="s">
        <v>320</v>
      </c>
      <c r="C1504" s="3" t="s">
        <v>6</v>
      </c>
      <c r="D1504" s="3" t="s">
        <v>50</v>
      </c>
      <c r="E1504" s="3" t="s">
        <v>732</v>
      </c>
      <c r="F1504" s="3" t="s">
        <v>104</v>
      </c>
      <c r="G1504" s="31">
        <f>4500+2171</f>
        <v>6671</v>
      </c>
    </row>
    <row r="1505" spans="1:7" x14ac:dyDescent="0.2">
      <c r="A1505" s="20" t="s">
        <v>115</v>
      </c>
      <c r="B1505" s="3" t="s">
        <v>320</v>
      </c>
      <c r="C1505" s="3" t="s">
        <v>6</v>
      </c>
      <c r="D1505" s="3" t="s">
        <v>50</v>
      </c>
      <c r="E1505" s="55" t="s">
        <v>122</v>
      </c>
      <c r="F1505" s="19"/>
      <c r="G1505" s="47">
        <f>G1506+G1508+G1511</f>
        <v>7685</v>
      </c>
    </row>
    <row r="1506" spans="1:7" x14ac:dyDescent="0.2">
      <c r="A1506" s="44" t="s">
        <v>94</v>
      </c>
      <c r="B1506" s="3" t="s">
        <v>320</v>
      </c>
      <c r="C1506" s="3" t="s">
        <v>6</v>
      </c>
      <c r="D1506" s="3" t="s">
        <v>50</v>
      </c>
      <c r="E1506" s="55" t="s">
        <v>146</v>
      </c>
      <c r="F1506" s="19"/>
      <c r="G1506" s="47">
        <f>G1507</f>
        <v>195.8</v>
      </c>
    </row>
    <row r="1507" spans="1:7" x14ac:dyDescent="0.2">
      <c r="A1507" s="44" t="s">
        <v>109</v>
      </c>
      <c r="B1507" s="3" t="s">
        <v>320</v>
      </c>
      <c r="C1507" s="3" t="s">
        <v>6</v>
      </c>
      <c r="D1507" s="3" t="s">
        <v>50</v>
      </c>
      <c r="E1507" s="55" t="s">
        <v>146</v>
      </c>
      <c r="F1507" s="19" t="s">
        <v>104</v>
      </c>
      <c r="G1507" s="47">
        <v>195.8</v>
      </c>
    </row>
    <row r="1508" spans="1:7" ht="45" x14ac:dyDescent="0.2">
      <c r="A1508" s="45" t="s">
        <v>62</v>
      </c>
      <c r="B1508" s="3" t="s">
        <v>320</v>
      </c>
      <c r="C1508" s="3" t="s">
        <v>6</v>
      </c>
      <c r="D1508" s="3" t="s">
        <v>50</v>
      </c>
      <c r="E1508" s="3" t="s">
        <v>124</v>
      </c>
      <c r="F1508" s="19"/>
      <c r="G1508" s="47">
        <f>G1509+G1510</f>
        <v>1745</v>
      </c>
    </row>
    <row r="1509" spans="1:7" ht="60" x14ac:dyDescent="0.2">
      <c r="A1509" s="44" t="s">
        <v>108</v>
      </c>
      <c r="B1509" s="3" t="s">
        <v>320</v>
      </c>
      <c r="C1509" s="3" t="s">
        <v>6</v>
      </c>
      <c r="D1509" s="3" t="s">
        <v>50</v>
      </c>
      <c r="E1509" s="3" t="s">
        <v>124</v>
      </c>
      <c r="F1509" s="19" t="s">
        <v>103</v>
      </c>
      <c r="G1509" s="47">
        <f>1193+397.4+33</f>
        <v>1623.4</v>
      </c>
    </row>
    <row r="1510" spans="1:7" ht="30" x14ac:dyDescent="0.2">
      <c r="A1510" s="44" t="s">
        <v>102</v>
      </c>
      <c r="B1510" s="3" t="s">
        <v>320</v>
      </c>
      <c r="C1510" s="3" t="s">
        <v>6</v>
      </c>
      <c r="D1510" s="3" t="s">
        <v>50</v>
      </c>
      <c r="E1510" s="3" t="s">
        <v>124</v>
      </c>
      <c r="F1510" s="19" t="s">
        <v>101</v>
      </c>
      <c r="G1510" s="47">
        <v>121.6</v>
      </c>
    </row>
    <row r="1511" spans="1:7" ht="30" x14ac:dyDescent="0.2">
      <c r="A1511" s="45" t="s">
        <v>100</v>
      </c>
      <c r="B1511" s="3" t="s">
        <v>320</v>
      </c>
      <c r="C1511" s="3" t="s">
        <v>6</v>
      </c>
      <c r="D1511" s="3" t="s">
        <v>50</v>
      </c>
      <c r="E1511" s="19" t="s">
        <v>126</v>
      </c>
      <c r="F1511" s="19"/>
      <c r="G1511" s="47">
        <f>G1512+G1514+G1516+G1518</f>
        <v>5744.2</v>
      </c>
    </row>
    <row r="1512" spans="1:7" ht="30" x14ac:dyDescent="0.2">
      <c r="A1512" s="44" t="s">
        <v>707</v>
      </c>
      <c r="B1512" s="3" t="s">
        <v>320</v>
      </c>
      <c r="C1512" s="3" t="s">
        <v>6</v>
      </c>
      <c r="D1512" s="3" t="s">
        <v>50</v>
      </c>
      <c r="E1512" s="19" t="s">
        <v>708</v>
      </c>
      <c r="F1512" s="19"/>
      <c r="G1512" s="47">
        <f>G1513</f>
        <v>391.09999999999997</v>
      </c>
    </row>
    <row r="1513" spans="1:7" ht="60" x14ac:dyDescent="0.2">
      <c r="A1513" s="44" t="s">
        <v>108</v>
      </c>
      <c r="B1513" s="3" t="s">
        <v>320</v>
      </c>
      <c r="C1513" s="3" t="s">
        <v>6</v>
      </c>
      <c r="D1513" s="3" t="s">
        <v>50</v>
      </c>
      <c r="E1513" s="19" t="s">
        <v>708</v>
      </c>
      <c r="F1513" s="19" t="s">
        <v>103</v>
      </c>
      <c r="G1513" s="47">
        <f>119+260.4+11.7</f>
        <v>391.09999999999997</v>
      </c>
    </row>
    <row r="1514" spans="1:7" x14ac:dyDescent="0.2">
      <c r="A1514" s="45" t="s">
        <v>42</v>
      </c>
      <c r="B1514" s="3" t="s">
        <v>320</v>
      </c>
      <c r="C1514" s="3" t="s">
        <v>6</v>
      </c>
      <c r="D1514" s="3" t="s">
        <v>50</v>
      </c>
      <c r="E1514" s="19" t="s">
        <v>461</v>
      </c>
      <c r="F1514" s="19"/>
      <c r="G1514" s="47">
        <f>G1515</f>
        <v>348.1</v>
      </c>
    </row>
    <row r="1515" spans="1:7" ht="30" x14ac:dyDescent="0.2">
      <c r="A1515" s="44" t="s">
        <v>102</v>
      </c>
      <c r="B1515" s="3" t="s">
        <v>320</v>
      </c>
      <c r="C1515" s="3" t="s">
        <v>6</v>
      </c>
      <c r="D1515" s="3" t="s">
        <v>50</v>
      </c>
      <c r="E1515" s="19" t="s">
        <v>461</v>
      </c>
      <c r="F1515" s="19" t="s">
        <v>101</v>
      </c>
      <c r="G1515" s="47">
        <v>348.1</v>
      </c>
    </row>
    <row r="1516" spans="1:7" ht="30" x14ac:dyDescent="0.2">
      <c r="A1516" s="44" t="s">
        <v>516</v>
      </c>
      <c r="B1516" s="3" t="s">
        <v>320</v>
      </c>
      <c r="C1516" s="3" t="s">
        <v>6</v>
      </c>
      <c r="D1516" s="3" t="s">
        <v>50</v>
      </c>
      <c r="E1516" s="19" t="s">
        <v>517</v>
      </c>
      <c r="F1516" s="19"/>
      <c r="G1516" s="47">
        <f>G1517</f>
        <v>1990.6999999999998</v>
      </c>
    </row>
    <row r="1517" spans="1:7" ht="60" x14ac:dyDescent="0.2">
      <c r="A1517" s="44" t="s">
        <v>108</v>
      </c>
      <c r="B1517" s="3" t="s">
        <v>320</v>
      </c>
      <c r="C1517" s="3" t="s">
        <v>6</v>
      </c>
      <c r="D1517" s="3" t="s">
        <v>50</v>
      </c>
      <c r="E1517" s="19" t="s">
        <v>517</v>
      </c>
      <c r="F1517" s="19" t="s">
        <v>103</v>
      </c>
      <c r="G1517" s="47">
        <f>890.4+333.2+734.5+32.6</f>
        <v>1990.6999999999998</v>
      </c>
    </row>
    <row r="1518" spans="1:7" ht="30" x14ac:dyDescent="0.2">
      <c r="A1518" s="44" t="s">
        <v>672</v>
      </c>
      <c r="B1518" s="3" t="s">
        <v>320</v>
      </c>
      <c r="C1518" s="3" t="s">
        <v>6</v>
      </c>
      <c r="D1518" s="3" t="s">
        <v>50</v>
      </c>
      <c r="E1518" s="19" t="s">
        <v>673</v>
      </c>
      <c r="F1518" s="19"/>
      <c r="G1518" s="47">
        <f>G1519</f>
        <v>3014.3</v>
      </c>
    </row>
    <row r="1519" spans="1:7" ht="30" x14ac:dyDescent="0.2">
      <c r="A1519" s="44" t="s">
        <v>102</v>
      </c>
      <c r="B1519" s="3" t="s">
        <v>320</v>
      </c>
      <c r="C1519" s="3" t="s">
        <v>6</v>
      </c>
      <c r="D1519" s="3" t="s">
        <v>50</v>
      </c>
      <c r="E1519" s="19" t="s">
        <v>673</v>
      </c>
      <c r="F1519" s="19" t="s">
        <v>101</v>
      </c>
      <c r="G1519" s="47">
        <v>3014.3</v>
      </c>
    </row>
    <row r="1520" spans="1:7" x14ac:dyDescent="0.2">
      <c r="A1520" s="9" t="s">
        <v>14</v>
      </c>
      <c r="B1520" s="3" t="s">
        <v>320</v>
      </c>
      <c r="C1520" s="3" t="s">
        <v>15</v>
      </c>
      <c r="D1520" s="3"/>
      <c r="E1520" s="3"/>
      <c r="F1520" s="3"/>
      <c r="G1520" s="32">
        <f>G1521</f>
        <v>22297</v>
      </c>
    </row>
    <row r="1521" spans="1:7" ht="30" x14ac:dyDescent="0.2">
      <c r="A1521" s="9" t="s">
        <v>151</v>
      </c>
      <c r="B1521" s="3" t="s">
        <v>320</v>
      </c>
      <c r="C1521" s="3" t="s">
        <v>15</v>
      </c>
      <c r="D1521" s="3" t="s">
        <v>27</v>
      </c>
      <c r="E1521" s="3"/>
      <c r="F1521" s="3"/>
      <c r="G1521" s="32">
        <f>G1522</f>
        <v>22297</v>
      </c>
    </row>
    <row r="1522" spans="1:7" ht="30" x14ac:dyDescent="0.2">
      <c r="A1522" s="44" t="s">
        <v>462</v>
      </c>
      <c r="B1522" s="3" t="s">
        <v>320</v>
      </c>
      <c r="C1522" s="3" t="s">
        <v>15</v>
      </c>
      <c r="D1522" s="3" t="s">
        <v>27</v>
      </c>
      <c r="E1522" s="3" t="s">
        <v>464</v>
      </c>
      <c r="F1522" s="19"/>
      <c r="G1522" s="28">
        <f>G1523</f>
        <v>22297</v>
      </c>
    </row>
    <row r="1523" spans="1:7" ht="45" x14ac:dyDescent="0.2">
      <c r="A1523" s="45" t="s">
        <v>469</v>
      </c>
      <c r="B1523" s="3" t="s">
        <v>320</v>
      </c>
      <c r="C1523" s="19" t="s">
        <v>15</v>
      </c>
      <c r="D1523" s="19" t="s">
        <v>27</v>
      </c>
      <c r="E1523" s="3" t="s">
        <v>465</v>
      </c>
      <c r="F1523" s="19"/>
      <c r="G1523" s="28">
        <f>G1524</f>
        <v>22297</v>
      </c>
    </row>
    <row r="1524" spans="1:7" ht="30" x14ac:dyDescent="0.2">
      <c r="A1524" s="44" t="s">
        <v>466</v>
      </c>
      <c r="B1524" s="3" t="s">
        <v>320</v>
      </c>
      <c r="C1524" s="19" t="s">
        <v>15</v>
      </c>
      <c r="D1524" s="19" t="s">
        <v>27</v>
      </c>
      <c r="E1524" s="3" t="s">
        <v>467</v>
      </c>
      <c r="F1524" s="19"/>
      <c r="G1524" s="28">
        <f>SUM(G1525:G1526)</f>
        <v>22297</v>
      </c>
    </row>
    <row r="1525" spans="1:7" ht="60" x14ac:dyDescent="0.2">
      <c r="A1525" s="44" t="s">
        <v>108</v>
      </c>
      <c r="B1525" s="3" t="s">
        <v>320</v>
      </c>
      <c r="C1525" s="19" t="s">
        <v>15</v>
      </c>
      <c r="D1525" s="19" t="s">
        <v>27</v>
      </c>
      <c r="E1525" s="19" t="s">
        <v>467</v>
      </c>
      <c r="F1525" s="19" t="s">
        <v>103</v>
      </c>
      <c r="G1525" s="28">
        <f>14694.6+1626.2+3183.7+2322.3</f>
        <v>21826.799999999999</v>
      </c>
    </row>
    <row r="1526" spans="1:7" ht="30" x14ac:dyDescent="0.2">
      <c r="A1526" s="44" t="s">
        <v>102</v>
      </c>
      <c r="B1526" s="3" t="s">
        <v>320</v>
      </c>
      <c r="C1526" s="19" t="s">
        <v>15</v>
      </c>
      <c r="D1526" s="19" t="s">
        <v>27</v>
      </c>
      <c r="E1526" s="19" t="s">
        <v>467</v>
      </c>
      <c r="F1526" s="19" t="s">
        <v>101</v>
      </c>
      <c r="G1526" s="28">
        <f>102.1+368.1</f>
        <v>470.20000000000005</v>
      </c>
    </row>
    <row r="1527" spans="1:7" x14ac:dyDescent="0.2">
      <c r="A1527" s="1" t="s">
        <v>19</v>
      </c>
      <c r="B1527" s="3" t="s">
        <v>320</v>
      </c>
      <c r="C1527" s="3" t="s">
        <v>7</v>
      </c>
      <c r="D1527" s="3"/>
      <c r="E1527" s="3"/>
      <c r="F1527" s="3"/>
      <c r="G1527" s="8">
        <f>G1528</f>
        <v>270786.2</v>
      </c>
    </row>
    <row r="1528" spans="1:7" x14ac:dyDescent="0.2">
      <c r="A1528" s="1" t="s">
        <v>121</v>
      </c>
      <c r="B1528" s="3" t="s">
        <v>320</v>
      </c>
      <c r="C1528" s="3" t="s">
        <v>7</v>
      </c>
      <c r="D1528" s="3" t="s">
        <v>17</v>
      </c>
      <c r="E1528" s="3"/>
      <c r="F1528" s="3"/>
      <c r="G1528" s="8">
        <f>G1529</f>
        <v>270786.2</v>
      </c>
    </row>
    <row r="1529" spans="1:7" ht="30" x14ac:dyDescent="0.2">
      <c r="A1529" s="1" t="s">
        <v>127</v>
      </c>
      <c r="B1529" s="3" t="s">
        <v>320</v>
      </c>
      <c r="C1529" s="10" t="s">
        <v>7</v>
      </c>
      <c r="D1529" s="10" t="s">
        <v>17</v>
      </c>
      <c r="E1529" s="3" t="s">
        <v>128</v>
      </c>
      <c r="F1529" s="3"/>
      <c r="G1529" s="31">
        <f>G1530</f>
        <v>270786.2</v>
      </c>
    </row>
    <row r="1530" spans="1:7" ht="30" x14ac:dyDescent="0.2">
      <c r="A1530" s="44" t="s">
        <v>325</v>
      </c>
      <c r="B1530" s="3" t="s">
        <v>320</v>
      </c>
      <c r="C1530" s="19" t="s">
        <v>7</v>
      </c>
      <c r="D1530" s="19" t="s">
        <v>17</v>
      </c>
      <c r="E1530" s="3" t="s">
        <v>129</v>
      </c>
      <c r="F1530" s="19"/>
      <c r="G1530" s="47">
        <f>G1531</f>
        <v>270786.2</v>
      </c>
    </row>
    <row r="1531" spans="1:7" ht="45" x14ac:dyDescent="0.2">
      <c r="A1531" s="44" t="s">
        <v>423</v>
      </c>
      <c r="B1531" s="3" t="s">
        <v>320</v>
      </c>
      <c r="C1531" s="19" t="s">
        <v>7</v>
      </c>
      <c r="D1531" s="19" t="s">
        <v>17</v>
      </c>
      <c r="E1531" s="3" t="s">
        <v>326</v>
      </c>
      <c r="F1531" s="19"/>
      <c r="G1531" s="28">
        <f>G1532</f>
        <v>270786.2</v>
      </c>
    </row>
    <row r="1532" spans="1:7" ht="30" x14ac:dyDescent="0.2">
      <c r="A1532" s="44" t="s">
        <v>102</v>
      </c>
      <c r="B1532" s="3" t="s">
        <v>320</v>
      </c>
      <c r="C1532" s="19" t="s">
        <v>7</v>
      </c>
      <c r="D1532" s="19" t="s">
        <v>17</v>
      </c>
      <c r="E1532" s="3" t="s">
        <v>326</v>
      </c>
      <c r="F1532" s="19" t="s">
        <v>101</v>
      </c>
      <c r="G1532" s="28">
        <v>270786.2</v>
      </c>
    </row>
    <row r="1533" spans="1:7" x14ac:dyDescent="0.2">
      <c r="A1533" s="1" t="s">
        <v>22</v>
      </c>
      <c r="B1533" s="3" t="s">
        <v>320</v>
      </c>
      <c r="C1533" s="3" t="s">
        <v>9</v>
      </c>
      <c r="D1533" s="3"/>
      <c r="E1533" s="19"/>
      <c r="F1533" s="19"/>
      <c r="G1533" s="31">
        <f>G1534</f>
        <v>19795.199999999997</v>
      </c>
    </row>
    <row r="1534" spans="1:7" x14ac:dyDescent="0.2">
      <c r="A1534" s="9" t="s">
        <v>43</v>
      </c>
      <c r="B1534" s="3" t="s">
        <v>320</v>
      </c>
      <c r="C1534" s="10" t="s">
        <v>9</v>
      </c>
      <c r="D1534" s="10" t="s">
        <v>15</v>
      </c>
      <c r="E1534" s="3"/>
      <c r="F1534" s="10"/>
      <c r="G1534" s="32">
        <f>G1538+G1535</f>
        <v>19795.199999999997</v>
      </c>
    </row>
    <row r="1535" spans="1:7" x14ac:dyDescent="0.2">
      <c r="A1535" s="44" t="s">
        <v>42</v>
      </c>
      <c r="B1535" s="3" t="s">
        <v>320</v>
      </c>
      <c r="C1535" s="19" t="s">
        <v>9</v>
      </c>
      <c r="D1535" s="19" t="s">
        <v>15</v>
      </c>
      <c r="E1535" s="19" t="s">
        <v>126</v>
      </c>
      <c r="F1535" s="3"/>
      <c r="G1535" s="32">
        <f>G1536</f>
        <v>1000</v>
      </c>
    </row>
    <row r="1536" spans="1:7" ht="45" x14ac:dyDescent="0.2">
      <c r="A1536" s="20" t="s">
        <v>814</v>
      </c>
      <c r="B1536" s="3" t="s">
        <v>320</v>
      </c>
      <c r="C1536" s="19" t="s">
        <v>9</v>
      </c>
      <c r="D1536" s="19" t="s">
        <v>15</v>
      </c>
      <c r="E1536" s="3" t="s">
        <v>802</v>
      </c>
      <c r="F1536" s="3"/>
      <c r="G1536" s="32">
        <f>G1537</f>
        <v>1000</v>
      </c>
    </row>
    <row r="1537" spans="1:7" ht="30" x14ac:dyDescent="0.2">
      <c r="A1537" s="20" t="s">
        <v>102</v>
      </c>
      <c r="B1537" s="3" t="s">
        <v>320</v>
      </c>
      <c r="C1537" s="19" t="s">
        <v>9</v>
      </c>
      <c r="D1537" s="19" t="s">
        <v>15</v>
      </c>
      <c r="E1537" s="3" t="s">
        <v>802</v>
      </c>
      <c r="F1537" s="3" t="s">
        <v>101</v>
      </c>
      <c r="G1537" s="32">
        <v>1000</v>
      </c>
    </row>
    <row r="1538" spans="1:7" ht="30" x14ac:dyDescent="0.2">
      <c r="A1538" s="1" t="s">
        <v>127</v>
      </c>
      <c r="B1538" s="3" t="s">
        <v>320</v>
      </c>
      <c r="C1538" s="10" t="s">
        <v>9</v>
      </c>
      <c r="D1538" s="10" t="s">
        <v>15</v>
      </c>
      <c r="E1538" s="3" t="s">
        <v>128</v>
      </c>
      <c r="F1538" s="7"/>
      <c r="G1538" s="32">
        <f>G1539</f>
        <v>18795.199999999997</v>
      </c>
    </row>
    <row r="1539" spans="1:7" ht="30" x14ac:dyDescent="0.2">
      <c r="A1539" s="1" t="s">
        <v>331</v>
      </c>
      <c r="B1539" s="3" t="s">
        <v>320</v>
      </c>
      <c r="C1539" s="10" t="s">
        <v>9</v>
      </c>
      <c r="D1539" s="10" t="s">
        <v>15</v>
      </c>
      <c r="E1539" s="3" t="s">
        <v>129</v>
      </c>
      <c r="F1539" s="7"/>
      <c r="G1539" s="32">
        <f>G1540+G1542</f>
        <v>18795.199999999997</v>
      </c>
    </row>
    <row r="1540" spans="1:7" x14ac:dyDescent="0.2">
      <c r="A1540" s="51" t="s">
        <v>327</v>
      </c>
      <c r="B1540" s="3" t="s">
        <v>320</v>
      </c>
      <c r="C1540" s="10" t="s">
        <v>9</v>
      </c>
      <c r="D1540" s="10" t="s">
        <v>15</v>
      </c>
      <c r="E1540" s="3" t="s">
        <v>328</v>
      </c>
      <c r="F1540" s="10"/>
      <c r="G1540" s="32">
        <f>G1541</f>
        <v>9176.1</v>
      </c>
    </row>
    <row r="1541" spans="1:7" ht="30" x14ac:dyDescent="0.2">
      <c r="A1541" s="44" t="s">
        <v>102</v>
      </c>
      <c r="B1541" s="3" t="s">
        <v>320</v>
      </c>
      <c r="C1541" s="19" t="s">
        <v>9</v>
      </c>
      <c r="D1541" s="19" t="s">
        <v>15</v>
      </c>
      <c r="E1541" s="3" t="s">
        <v>328</v>
      </c>
      <c r="F1541" s="10" t="s">
        <v>101</v>
      </c>
      <c r="G1541" s="32">
        <v>9176.1</v>
      </c>
    </row>
    <row r="1542" spans="1:7" ht="30" x14ac:dyDescent="0.2">
      <c r="A1542" s="9" t="s">
        <v>329</v>
      </c>
      <c r="B1542" s="3" t="s">
        <v>320</v>
      </c>
      <c r="C1542" s="23" t="s">
        <v>9</v>
      </c>
      <c r="D1542" s="23" t="s">
        <v>15</v>
      </c>
      <c r="E1542" s="3" t="s">
        <v>330</v>
      </c>
      <c r="F1542" s="10"/>
      <c r="G1542" s="32">
        <f>G1543</f>
        <v>9619.0999999999985</v>
      </c>
    </row>
    <row r="1543" spans="1:7" ht="30" x14ac:dyDescent="0.2">
      <c r="A1543" s="44" t="s">
        <v>102</v>
      </c>
      <c r="B1543" s="3" t="s">
        <v>320</v>
      </c>
      <c r="C1543" s="23" t="s">
        <v>9</v>
      </c>
      <c r="D1543" s="23" t="s">
        <v>15</v>
      </c>
      <c r="E1543" s="3" t="s">
        <v>330</v>
      </c>
      <c r="F1543" s="10" t="s">
        <v>101</v>
      </c>
      <c r="G1543" s="32">
        <f>7573.9-740.1+2785.3</f>
        <v>9619.0999999999985</v>
      </c>
    </row>
    <row r="1544" spans="1:7" x14ac:dyDescent="0.2">
      <c r="A1544" s="1" t="s">
        <v>29</v>
      </c>
      <c r="B1544" s="3" t="s">
        <v>320</v>
      </c>
      <c r="C1544" s="19" t="s">
        <v>30</v>
      </c>
      <c r="D1544" s="19"/>
      <c r="E1544" s="3"/>
      <c r="F1544" s="19"/>
      <c r="G1544" s="47">
        <f t="shared" ref="G1544:G1545" si="17">G1545</f>
        <v>35</v>
      </c>
    </row>
    <row r="1545" spans="1:7" x14ac:dyDescent="0.2">
      <c r="A1545" s="1" t="s">
        <v>475</v>
      </c>
      <c r="B1545" s="3" t="s">
        <v>320</v>
      </c>
      <c r="C1545" s="3" t="s">
        <v>30</v>
      </c>
      <c r="D1545" s="3" t="s">
        <v>30</v>
      </c>
      <c r="E1545" s="3"/>
      <c r="F1545" s="19"/>
      <c r="G1545" s="47">
        <f t="shared" si="17"/>
        <v>35</v>
      </c>
    </row>
    <row r="1546" spans="1:7" ht="30" x14ac:dyDescent="0.2">
      <c r="A1546" s="44" t="s">
        <v>553</v>
      </c>
      <c r="B1546" s="3" t="s">
        <v>320</v>
      </c>
      <c r="C1546" s="19" t="s">
        <v>30</v>
      </c>
      <c r="D1546" s="19" t="s">
        <v>30</v>
      </c>
      <c r="E1546" s="3" t="s">
        <v>332</v>
      </c>
      <c r="F1546" s="19"/>
      <c r="G1546" s="47">
        <f>G1547</f>
        <v>35</v>
      </c>
    </row>
    <row r="1547" spans="1:7" ht="30" x14ac:dyDescent="0.2">
      <c r="A1547" s="44" t="s">
        <v>130</v>
      </c>
      <c r="B1547" s="3" t="s">
        <v>320</v>
      </c>
      <c r="C1547" s="19" t="s">
        <v>30</v>
      </c>
      <c r="D1547" s="19" t="s">
        <v>30</v>
      </c>
      <c r="E1547" s="3" t="s">
        <v>333</v>
      </c>
      <c r="F1547" s="3"/>
      <c r="G1547" s="47">
        <f>G1548</f>
        <v>35</v>
      </c>
    </row>
    <row r="1548" spans="1:7" ht="30" x14ac:dyDescent="0.2">
      <c r="A1548" s="9" t="s">
        <v>459</v>
      </c>
      <c r="B1548" s="3" t="s">
        <v>320</v>
      </c>
      <c r="C1548" s="19" t="s">
        <v>30</v>
      </c>
      <c r="D1548" s="19" t="s">
        <v>30</v>
      </c>
      <c r="E1548" s="3" t="s">
        <v>334</v>
      </c>
      <c r="F1548" s="19"/>
      <c r="G1548" s="47">
        <f>G1549</f>
        <v>35</v>
      </c>
    </row>
    <row r="1549" spans="1:7" x14ac:dyDescent="0.2">
      <c r="A1549" s="9" t="s">
        <v>460</v>
      </c>
      <c r="B1549" s="3" t="s">
        <v>320</v>
      </c>
      <c r="C1549" s="19" t="s">
        <v>30</v>
      </c>
      <c r="D1549" s="19" t="s">
        <v>30</v>
      </c>
      <c r="E1549" s="3" t="s">
        <v>335</v>
      </c>
      <c r="F1549" s="19"/>
      <c r="G1549" s="47">
        <f>G1550</f>
        <v>35</v>
      </c>
    </row>
    <row r="1550" spans="1:7" ht="30" x14ac:dyDescent="0.2">
      <c r="A1550" s="44" t="s">
        <v>102</v>
      </c>
      <c r="B1550" s="3" t="s">
        <v>320</v>
      </c>
      <c r="C1550" s="19" t="s">
        <v>30</v>
      </c>
      <c r="D1550" s="19" t="s">
        <v>30</v>
      </c>
      <c r="E1550" s="3" t="s">
        <v>335</v>
      </c>
      <c r="F1550" s="19" t="s">
        <v>101</v>
      </c>
      <c r="G1550" s="47">
        <v>35</v>
      </c>
    </row>
    <row r="1551" spans="1:7" x14ac:dyDescent="0.2">
      <c r="A1551" s="9" t="s">
        <v>182</v>
      </c>
      <c r="B1551" s="3" t="s">
        <v>320</v>
      </c>
      <c r="C1551" s="19" t="s">
        <v>21</v>
      </c>
      <c r="D1551" s="19"/>
      <c r="E1551" s="3"/>
      <c r="F1551" s="19"/>
      <c r="G1551" s="47">
        <f>G1552</f>
        <v>7388.5</v>
      </c>
    </row>
    <row r="1552" spans="1:7" x14ac:dyDescent="0.2">
      <c r="A1552" s="1" t="s">
        <v>183</v>
      </c>
      <c r="B1552" s="3" t="s">
        <v>320</v>
      </c>
      <c r="C1552" s="19" t="s">
        <v>21</v>
      </c>
      <c r="D1552" s="19" t="s">
        <v>6</v>
      </c>
      <c r="E1552" s="3"/>
      <c r="F1552" s="19"/>
      <c r="G1552" s="47">
        <f>G1553</f>
        <v>7388.5</v>
      </c>
    </row>
    <row r="1553" spans="1:7" ht="30" x14ac:dyDescent="0.2">
      <c r="A1553" s="44" t="s">
        <v>551</v>
      </c>
      <c r="B1553" s="3" t="s">
        <v>320</v>
      </c>
      <c r="C1553" s="19" t="s">
        <v>21</v>
      </c>
      <c r="D1553" s="19" t="s">
        <v>6</v>
      </c>
      <c r="E1553" s="57" t="s">
        <v>161</v>
      </c>
      <c r="F1553" s="19"/>
      <c r="G1553" s="47">
        <f>G1554+G1558</f>
        <v>7388.5</v>
      </c>
    </row>
    <row r="1554" spans="1:7" x14ac:dyDescent="0.2">
      <c r="A1554" s="20" t="s">
        <v>162</v>
      </c>
      <c r="B1554" s="3" t="s">
        <v>320</v>
      </c>
      <c r="C1554" s="19" t="s">
        <v>21</v>
      </c>
      <c r="D1554" s="19" t="s">
        <v>6</v>
      </c>
      <c r="E1554" s="19" t="s">
        <v>163</v>
      </c>
      <c r="F1554" s="19"/>
      <c r="G1554" s="47">
        <f>G1555</f>
        <v>3700</v>
      </c>
    </row>
    <row r="1555" spans="1:7" ht="30" x14ac:dyDescent="0.2">
      <c r="A1555" s="20" t="s">
        <v>210</v>
      </c>
      <c r="B1555" s="3" t="s">
        <v>320</v>
      </c>
      <c r="C1555" s="3" t="s">
        <v>21</v>
      </c>
      <c r="D1555" s="3" t="s">
        <v>6</v>
      </c>
      <c r="E1555" s="19" t="s">
        <v>211</v>
      </c>
      <c r="F1555" s="3"/>
      <c r="G1555" s="47">
        <f>G1556</f>
        <v>3700</v>
      </c>
    </row>
    <row r="1556" spans="1:7" x14ac:dyDescent="0.2">
      <c r="A1556" s="20" t="s">
        <v>212</v>
      </c>
      <c r="B1556" s="3" t="s">
        <v>320</v>
      </c>
      <c r="C1556" s="3" t="s">
        <v>21</v>
      </c>
      <c r="D1556" s="3" t="s">
        <v>6</v>
      </c>
      <c r="E1556" s="19" t="s">
        <v>213</v>
      </c>
      <c r="F1556" s="3"/>
      <c r="G1556" s="47">
        <f>G1557</f>
        <v>3700</v>
      </c>
    </row>
    <row r="1557" spans="1:7" ht="30" x14ac:dyDescent="0.2">
      <c r="A1557" s="44" t="s">
        <v>102</v>
      </c>
      <c r="B1557" s="3" t="s">
        <v>320</v>
      </c>
      <c r="C1557" s="3" t="s">
        <v>21</v>
      </c>
      <c r="D1557" s="3" t="s">
        <v>6</v>
      </c>
      <c r="E1557" s="19" t="s">
        <v>213</v>
      </c>
      <c r="F1557" s="3" t="s">
        <v>101</v>
      </c>
      <c r="G1557" s="47">
        <f>1200+2500</f>
        <v>3700</v>
      </c>
    </row>
    <row r="1558" spans="1:7" ht="30" x14ac:dyDescent="0.2">
      <c r="A1558" s="20" t="s">
        <v>745</v>
      </c>
      <c r="B1558" s="3" t="s">
        <v>320</v>
      </c>
      <c r="C1558" s="3" t="s">
        <v>21</v>
      </c>
      <c r="D1558" s="3" t="s">
        <v>6</v>
      </c>
      <c r="E1558" s="19" t="s">
        <v>748</v>
      </c>
      <c r="F1558" s="3"/>
      <c r="G1558" s="32">
        <f>G1559</f>
        <v>3688.5</v>
      </c>
    </row>
    <row r="1559" spans="1:7" ht="60" x14ac:dyDescent="0.2">
      <c r="A1559" s="20" t="s">
        <v>746</v>
      </c>
      <c r="B1559" s="3" t="s">
        <v>320</v>
      </c>
      <c r="C1559" s="3" t="s">
        <v>21</v>
      </c>
      <c r="D1559" s="3" t="s">
        <v>6</v>
      </c>
      <c r="E1559" s="19" t="s">
        <v>749</v>
      </c>
      <c r="F1559" s="3"/>
      <c r="G1559" s="32">
        <f>G1560</f>
        <v>3688.5</v>
      </c>
    </row>
    <row r="1560" spans="1:7" x14ac:dyDescent="0.2">
      <c r="A1560" s="20" t="s">
        <v>747</v>
      </c>
      <c r="B1560" s="3" t="s">
        <v>320</v>
      </c>
      <c r="C1560" s="3" t="s">
        <v>21</v>
      </c>
      <c r="D1560" s="3" t="s">
        <v>6</v>
      </c>
      <c r="E1560" s="19" t="s">
        <v>750</v>
      </c>
      <c r="F1560" s="3"/>
      <c r="G1560" s="32">
        <f>G1561</f>
        <v>3688.5</v>
      </c>
    </row>
    <row r="1561" spans="1:7" ht="30" x14ac:dyDescent="0.2">
      <c r="A1561" s="44" t="s">
        <v>102</v>
      </c>
      <c r="B1561" s="3" t="s">
        <v>320</v>
      </c>
      <c r="C1561" s="3" t="s">
        <v>21</v>
      </c>
      <c r="D1561" s="3" t="s">
        <v>6</v>
      </c>
      <c r="E1561" s="19" t="s">
        <v>750</v>
      </c>
      <c r="F1561" s="3" t="s">
        <v>101</v>
      </c>
      <c r="G1561" s="32">
        <v>3688.5</v>
      </c>
    </row>
    <row r="1562" spans="1:7" x14ac:dyDescent="0.2">
      <c r="A1562" s="1" t="s">
        <v>28</v>
      </c>
      <c r="B1562" s="3" t="s">
        <v>320</v>
      </c>
      <c r="C1562" s="3" t="s">
        <v>47</v>
      </c>
      <c r="D1562" s="3"/>
      <c r="E1562" s="3"/>
      <c r="F1562" s="3"/>
      <c r="G1562" s="32">
        <f t="shared" ref="G1562:G1567" si="18">G1563</f>
        <v>466.7</v>
      </c>
    </row>
    <row r="1563" spans="1:7" x14ac:dyDescent="0.2">
      <c r="A1563" s="68" t="s">
        <v>52</v>
      </c>
      <c r="B1563" s="3" t="s">
        <v>320</v>
      </c>
      <c r="C1563" s="3" t="s">
        <v>47</v>
      </c>
      <c r="D1563" s="3" t="s">
        <v>16</v>
      </c>
      <c r="E1563" s="3"/>
      <c r="F1563" s="3"/>
      <c r="G1563" s="32">
        <f t="shared" si="18"/>
        <v>466.7</v>
      </c>
    </row>
    <row r="1564" spans="1:7" ht="30" x14ac:dyDescent="0.2">
      <c r="A1564" s="44" t="s">
        <v>552</v>
      </c>
      <c r="B1564" s="3" t="s">
        <v>320</v>
      </c>
      <c r="C1564" s="19" t="s">
        <v>47</v>
      </c>
      <c r="D1564" s="19" t="s">
        <v>16</v>
      </c>
      <c r="E1564" s="3" t="s">
        <v>336</v>
      </c>
      <c r="F1564" s="19"/>
      <c r="G1564" s="28">
        <f t="shared" si="18"/>
        <v>466.7</v>
      </c>
    </row>
    <row r="1565" spans="1:7" ht="30" x14ac:dyDescent="0.2">
      <c r="A1565" s="9" t="s">
        <v>152</v>
      </c>
      <c r="B1565" s="3" t="s">
        <v>320</v>
      </c>
      <c r="C1565" s="19" t="s">
        <v>47</v>
      </c>
      <c r="D1565" s="19" t="s">
        <v>16</v>
      </c>
      <c r="E1565" s="3" t="s">
        <v>341</v>
      </c>
      <c r="F1565" s="19"/>
      <c r="G1565" s="47">
        <f t="shared" si="18"/>
        <v>466.7</v>
      </c>
    </row>
    <row r="1566" spans="1:7" ht="30" x14ac:dyDescent="0.2">
      <c r="A1566" s="44" t="s">
        <v>337</v>
      </c>
      <c r="B1566" s="3" t="s">
        <v>320</v>
      </c>
      <c r="C1566" s="19" t="s">
        <v>47</v>
      </c>
      <c r="D1566" s="19" t="s">
        <v>16</v>
      </c>
      <c r="E1566" s="3" t="s">
        <v>338</v>
      </c>
      <c r="F1566" s="19"/>
      <c r="G1566" s="47">
        <f t="shared" si="18"/>
        <v>466.7</v>
      </c>
    </row>
    <row r="1567" spans="1:7" ht="30" x14ac:dyDescent="0.2">
      <c r="A1567" s="44" t="s">
        <v>339</v>
      </c>
      <c r="B1567" s="3" t="s">
        <v>320</v>
      </c>
      <c r="C1567" s="19" t="s">
        <v>47</v>
      </c>
      <c r="D1567" s="19" t="s">
        <v>16</v>
      </c>
      <c r="E1567" s="3" t="s">
        <v>340</v>
      </c>
      <c r="F1567" s="19"/>
      <c r="G1567" s="47">
        <f t="shared" si="18"/>
        <v>466.7</v>
      </c>
    </row>
    <row r="1568" spans="1:7" ht="30" x14ac:dyDescent="0.2">
      <c r="A1568" s="44" t="s">
        <v>102</v>
      </c>
      <c r="B1568" s="3" t="s">
        <v>320</v>
      </c>
      <c r="C1568" s="19" t="s">
        <v>47</v>
      </c>
      <c r="D1568" s="19" t="s">
        <v>16</v>
      </c>
      <c r="E1568" s="3" t="s">
        <v>340</v>
      </c>
      <c r="F1568" s="19" t="s">
        <v>101</v>
      </c>
      <c r="G1568" s="47">
        <v>466.7</v>
      </c>
    </row>
    <row r="1569" spans="1:7" x14ac:dyDescent="0.2">
      <c r="A1569" s="18"/>
      <c r="B1569" s="19"/>
      <c r="C1569" s="19"/>
      <c r="D1569" s="19"/>
      <c r="E1569" s="19"/>
      <c r="F1569" s="19"/>
      <c r="G1569" s="47"/>
    </row>
    <row r="1570" spans="1:7" ht="42.75" x14ac:dyDescent="0.2">
      <c r="A1570" s="25" t="s">
        <v>97</v>
      </c>
      <c r="B1570" s="50">
        <v>855</v>
      </c>
      <c r="C1570" s="27"/>
      <c r="D1570" s="50"/>
      <c r="E1570" s="27"/>
      <c r="F1570" s="50"/>
      <c r="G1570" s="83">
        <f>G1571</f>
        <v>14054.6</v>
      </c>
    </row>
    <row r="1571" spans="1:7" x14ac:dyDescent="0.2">
      <c r="A1571" s="1" t="s">
        <v>5</v>
      </c>
      <c r="B1571" s="3" t="s">
        <v>321</v>
      </c>
      <c r="C1571" s="3" t="s">
        <v>6</v>
      </c>
      <c r="D1571" s="3"/>
      <c r="E1571" s="3"/>
      <c r="F1571" s="3"/>
      <c r="G1571" s="8">
        <f>G1572+G1578</f>
        <v>14054.6</v>
      </c>
    </row>
    <row r="1572" spans="1:7" ht="45" x14ac:dyDescent="0.2">
      <c r="A1572" s="9" t="s">
        <v>26</v>
      </c>
      <c r="B1572" s="3" t="s">
        <v>321</v>
      </c>
      <c r="C1572" s="10" t="s">
        <v>6</v>
      </c>
      <c r="D1572" s="10" t="s">
        <v>7</v>
      </c>
      <c r="E1572" s="11"/>
      <c r="F1572" s="10"/>
      <c r="G1572" s="31">
        <f>G1573</f>
        <v>12322.1</v>
      </c>
    </row>
    <row r="1573" spans="1:7" x14ac:dyDescent="0.2">
      <c r="A1573" s="54" t="s">
        <v>115</v>
      </c>
      <c r="B1573" s="3" t="s">
        <v>321</v>
      </c>
      <c r="C1573" s="55" t="s">
        <v>6</v>
      </c>
      <c r="D1573" s="55" t="s">
        <v>7</v>
      </c>
      <c r="E1573" s="55" t="s">
        <v>122</v>
      </c>
      <c r="F1573" s="3"/>
      <c r="G1573" s="47">
        <f>G1574</f>
        <v>12322.1</v>
      </c>
    </row>
    <row r="1574" spans="1:7" x14ac:dyDescent="0.2">
      <c r="A1574" s="20" t="s">
        <v>8</v>
      </c>
      <c r="B1574" s="3" t="s">
        <v>321</v>
      </c>
      <c r="C1574" s="19" t="s">
        <v>6</v>
      </c>
      <c r="D1574" s="55" t="s">
        <v>7</v>
      </c>
      <c r="E1574" s="55" t="s">
        <v>123</v>
      </c>
      <c r="F1574" s="19"/>
      <c r="G1574" s="47">
        <f>SUM(G1575:G1577)</f>
        <v>12322.1</v>
      </c>
    </row>
    <row r="1575" spans="1:7" ht="60" x14ac:dyDescent="0.2">
      <c r="A1575" s="44" t="s">
        <v>108</v>
      </c>
      <c r="B1575" s="3" t="s">
        <v>321</v>
      </c>
      <c r="C1575" s="19" t="s">
        <v>6</v>
      </c>
      <c r="D1575" s="55" t="s">
        <v>7</v>
      </c>
      <c r="E1575" s="55" t="s">
        <v>123</v>
      </c>
      <c r="F1575" s="19" t="s">
        <v>103</v>
      </c>
      <c r="G1575" s="47">
        <f>6994.5+691.4+1228.5+653.7</f>
        <v>9568.1</v>
      </c>
    </row>
    <row r="1576" spans="1:7" ht="30" x14ac:dyDescent="0.2">
      <c r="A1576" s="44" t="s">
        <v>102</v>
      </c>
      <c r="B1576" s="3" t="s">
        <v>321</v>
      </c>
      <c r="C1576" s="19" t="s">
        <v>6</v>
      </c>
      <c r="D1576" s="55" t="s">
        <v>7</v>
      </c>
      <c r="E1576" s="55" t="s">
        <v>123</v>
      </c>
      <c r="F1576" s="19" t="s">
        <v>101</v>
      </c>
      <c r="G1576" s="47">
        <f>2700.3+7.3+36.4</f>
        <v>2744.0000000000005</v>
      </c>
    </row>
    <row r="1577" spans="1:7" x14ac:dyDescent="0.2">
      <c r="A1577" s="44" t="s">
        <v>109</v>
      </c>
      <c r="B1577" s="3" t="s">
        <v>321</v>
      </c>
      <c r="C1577" s="19" t="s">
        <v>6</v>
      </c>
      <c r="D1577" s="55" t="s">
        <v>7</v>
      </c>
      <c r="E1577" s="55" t="s">
        <v>123</v>
      </c>
      <c r="F1577" s="19" t="s">
        <v>104</v>
      </c>
      <c r="G1577" s="47">
        <v>10</v>
      </c>
    </row>
    <row r="1578" spans="1:7" x14ac:dyDescent="0.2">
      <c r="A1578" s="1" t="s">
        <v>42</v>
      </c>
      <c r="B1578" s="3" t="s">
        <v>321</v>
      </c>
      <c r="C1578" s="3" t="s">
        <v>6</v>
      </c>
      <c r="D1578" s="3" t="s">
        <v>50</v>
      </c>
      <c r="E1578" s="3"/>
      <c r="F1578" s="3"/>
      <c r="G1578" s="31">
        <f>G1579</f>
        <v>1732.5</v>
      </c>
    </row>
    <row r="1579" spans="1:7" x14ac:dyDescent="0.2">
      <c r="A1579" s="20" t="s">
        <v>115</v>
      </c>
      <c r="B1579" s="3" t="s">
        <v>321</v>
      </c>
      <c r="C1579" s="3" t="s">
        <v>6</v>
      </c>
      <c r="D1579" s="3" t="s">
        <v>50</v>
      </c>
      <c r="E1579" s="55" t="s">
        <v>122</v>
      </c>
      <c r="F1579" s="19"/>
      <c r="G1579" s="47">
        <f>G1580+G1582</f>
        <v>1732.5</v>
      </c>
    </row>
    <row r="1580" spans="1:7" x14ac:dyDescent="0.2">
      <c r="A1580" s="44" t="s">
        <v>94</v>
      </c>
      <c r="B1580" s="3" t="s">
        <v>321</v>
      </c>
      <c r="C1580" s="3" t="s">
        <v>6</v>
      </c>
      <c r="D1580" s="3" t="s">
        <v>50</v>
      </c>
      <c r="E1580" s="55" t="s">
        <v>146</v>
      </c>
      <c r="F1580" s="19"/>
      <c r="G1580" s="47">
        <f>G1581</f>
        <v>785.8</v>
      </c>
    </row>
    <row r="1581" spans="1:7" x14ac:dyDescent="0.2">
      <c r="A1581" s="44" t="s">
        <v>109</v>
      </c>
      <c r="B1581" s="3" t="s">
        <v>321</v>
      </c>
      <c r="C1581" s="3" t="s">
        <v>6</v>
      </c>
      <c r="D1581" s="3" t="s">
        <v>50</v>
      </c>
      <c r="E1581" s="55" t="s">
        <v>146</v>
      </c>
      <c r="F1581" s="19" t="s">
        <v>104</v>
      </c>
      <c r="G1581" s="47">
        <v>785.8</v>
      </c>
    </row>
    <row r="1582" spans="1:7" x14ac:dyDescent="0.2">
      <c r="A1582" s="20" t="s">
        <v>18</v>
      </c>
      <c r="B1582" s="3" t="s">
        <v>321</v>
      </c>
      <c r="C1582" s="3" t="s">
        <v>6</v>
      </c>
      <c r="D1582" s="3" t="s">
        <v>50</v>
      </c>
      <c r="E1582" s="19" t="s">
        <v>155</v>
      </c>
      <c r="F1582" s="19"/>
      <c r="G1582" s="47">
        <f>G1583</f>
        <v>946.69999999999993</v>
      </c>
    </row>
    <row r="1583" spans="1:7" ht="30" x14ac:dyDescent="0.2">
      <c r="A1583" s="20" t="s">
        <v>112</v>
      </c>
      <c r="B1583" s="3" t="s">
        <v>321</v>
      </c>
      <c r="C1583" s="3" t="s">
        <v>6</v>
      </c>
      <c r="D1583" s="3" t="s">
        <v>50</v>
      </c>
      <c r="E1583" s="19" t="s">
        <v>155</v>
      </c>
      <c r="F1583" s="19" t="s">
        <v>107</v>
      </c>
      <c r="G1583" s="47">
        <f>367+545.8+33.9</f>
        <v>946.69999999999993</v>
      </c>
    </row>
    <row r="1584" spans="1:7" x14ac:dyDescent="0.2">
      <c r="A1584" s="44"/>
      <c r="B1584" s="19"/>
      <c r="C1584" s="19"/>
      <c r="D1584" s="19"/>
      <c r="E1584" s="19"/>
      <c r="F1584" s="19"/>
      <c r="G1584" s="47"/>
    </row>
    <row r="1585" spans="1:7" ht="42.75" x14ac:dyDescent="0.2">
      <c r="A1585" s="25" t="s">
        <v>414</v>
      </c>
      <c r="B1585" s="12" t="s">
        <v>415</v>
      </c>
      <c r="C1585" s="12"/>
      <c r="D1585" s="12"/>
      <c r="E1585" s="12"/>
      <c r="F1585" s="12"/>
      <c r="G1585" s="82">
        <f>G1586</f>
        <v>37677.199999999997</v>
      </c>
    </row>
    <row r="1586" spans="1:7" x14ac:dyDescent="0.2">
      <c r="A1586" s="1" t="s">
        <v>5</v>
      </c>
      <c r="B1586" s="3" t="s">
        <v>415</v>
      </c>
      <c r="C1586" s="3" t="s">
        <v>6</v>
      </c>
      <c r="D1586" s="19"/>
      <c r="E1586" s="19"/>
      <c r="F1586" s="19"/>
      <c r="G1586" s="47">
        <f>G1587+G1592</f>
        <v>37677.199999999997</v>
      </c>
    </row>
    <row r="1587" spans="1:7" ht="45" x14ac:dyDescent="0.2">
      <c r="A1587" s="9" t="s">
        <v>26</v>
      </c>
      <c r="B1587" s="3" t="s">
        <v>415</v>
      </c>
      <c r="C1587" s="10" t="s">
        <v>6</v>
      </c>
      <c r="D1587" s="10" t="s">
        <v>7</v>
      </c>
      <c r="E1587" s="11"/>
      <c r="F1587" s="10"/>
      <c r="G1587" s="31">
        <f>G1588</f>
        <v>12677.199999999999</v>
      </c>
    </row>
    <row r="1588" spans="1:7" x14ac:dyDescent="0.2">
      <c r="A1588" s="54" t="s">
        <v>115</v>
      </c>
      <c r="B1588" s="3" t="s">
        <v>415</v>
      </c>
      <c r="C1588" s="55" t="s">
        <v>6</v>
      </c>
      <c r="D1588" s="55" t="s">
        <v>7</v>
      </c>
      <c r="E1588" s="55" t="s">
        <v>122</v>
      </c>
      <c r="F1588" s="3"/>
      <c r="G1588" s="47">
        <f>G1589</f>
        <v>12677.199999999999</v>
      </c>
    </row>
    <row r="1589" spans="1:7" x14ac:dyDescent="0.2">
      <c r="A1589" s="20" t="s">
        <v>8</v>
      </c>
      <c r="B1589" s="3" t="s">
        <v>415</v>
      </c>
      <c r="C1589" s="19" t="s">
        <v>6</v>
      </c>
      <c r="D1589" s="55" t="s">
        <v>7</v>
      </c>
      <c r="E1589" s="55" t="s">
        <v>123</v>
      </c>
      <c r="F1589" s="19"/>
      <c r="G1589" s="47">
        <f>SUM(G1590:G1591)</f>
        <v>12677.199999999999</v>
      </c>
    </row>
    <row r="1590" spans="1:7" ht="60" x14ac:dyDescent="0.2">
      <c r="A1590" s="44" t="s">
        <v>108</v>
      </c>
      <c r="B1590" s="3" t="s">
        <v>415</v>
      </c>
      <c r="C1590" s="19" t="s">
        <v>6</v>
      </c>
      <c r="D1590" s="55" t="s">
        <v>7</v>
      </c>
      <c r="E1590" s="55" t="s">
        <v>123</v>
      </c>
      <c r="F1590" s="19" t="s">
        <v>103</v>
      </c>
      <c r="G1590" s="47">
        <f>9185.1+907.8+1470.4+894.3</f>
        <v>12457.599999999999</v>
      </c>
    </row>
    <row r="1591" spans="1:7" ht="30" x14ac:dyDescent="0.2">
      <c r="A1591" s="44" t="s">
        <v>102</v>
      </c>
      <c r="B1591" s="3" t="s">
        <v>415</v>
      </c>
      <c r="C1591" s="19" t="s">
        <v>6</v>
      </c>
      <c r="D1591" s="55" t="s">
        <v>7</v>
      </c>
      <c r="E1591" s="55" t="s">
        <v>123</v>
      </c>
      <c r="F1591" s="19" t="s">
        <v>101</v>
      </c>
      <c r="G1591" s="47">
        <v>219.6</v>
      </c>
    </row>
    <row r="1592" spans="1:7" x14ac:dyDescent="0.2">
      <c r="A1592" s="1" t="s">
        <v>42</v>
      </c>
      <c r="B1592" s="3" t="s">
        <v>415</v>
      </c>
      <c r="C1592" s="3" t="s">
        <v>6</v>
      </c>
      <c r="D1592" s="3" t="s">
        <v>50</v>
      </c>
      <c r="E1592" s="55"/>
      <c r="F1592" s="3"/>
      <c r="G1592" s="31">
        <f>G1593</f>
        <v>25000</v>
      </c>
    </row>
    <row r="1593" spans="1:7" x14ac:dyDescent="0.2">
      <c r="A1593" s="20" t="s">
        <v>115</v>
      </c>
      <c r="B1593" s="3" t="s">
        <v>415</v>
      </c>
      <c r="C1593" s="3" t="s">
        <v>6</v>
      </c>
      <c r="D1593" s="3" t="s">
        <v>50</v>
      </c>
      <c r="E1593" s="55" t="s">
        <v>122</v>
      </c>
      <c r="F1593" s="3"/>
      <c r="G1593" s="31">
        <f>G1594</f>
        <v>25000</v>
      </c>
    </row>
    <row r="1594" spans="1:7" ht="30" x14ac:dyDescent="0.2">
      <c r="A1594" s="45" t="s">
        <v>100</v>
      </c>
      <c r="B1594" s="3" t="s">
        <v>415</v>
      </c>
      <c r="C1594" s="3" t="s">
        <v>6</v>
      </c>
      <c r="D1594" s="3" t="s">
        <v>50</v>
      </c>
      <c r="E1594" s="19" t="s">
        <v>126</v>
      </c>
      <c r="F1594" s="55"/>
      <c r="G1594" s="47">
        <f>G1595</f>
        <v>25000</v>
      </c>
    </row>
    <row r="1595" spans="1:7" x14ac:dyDescent="0.2">
      <c r="A1595" s="45" t="s">
        <v>42</v>
      </c>
      <c r="B1595" s="3" t="s">
        <v>415</v>
      </c>
      <c r="C1595" s="3" t="s">
        <v>6</v>
      </c>
      <c r="D1595" s="3" t="s">
        <v>50</v>
      </c>
      <c r="E1595" s="19" t="s">
        <v>461</v>
      </c>
      <c r="F1595" s="19"/>
      <c r="G1595" s="47">
        <f>G1596</f>
        <v>25000</v>
      </c>
    </row>
    <row r="1596" spans="1:7" ht="30" x14ac:dyDescent="0.2">
      <c r="A1596" s="44" t="s">
        <v>102</v>
      </c>
      <c r="B1596" s="3" t="s">
        <v>415</v>
      </c>
      <c r="C1596" s="3" t="s">
        <v>6</v>
      </c>
      <c r="D1596" s="3" t="s">
        <v>50</v>
      </c>
      <c r="E1596" s="19" t="s">
        <v>461</v>
      </c>
      <c r="F1596" s="19" t="s">
        <v>101</v>
      </c>
      <c r="G1596" s="47">
        <f>5000+20000</f>
        <v>25000</v>
      </c>
    </row>
    <row r="1597" spans="1:7" x14ac:dyDescent="0.2">
      <c r="A1597" s="44"/>
      <c r="B1597" s="3"/>
      <c r="C1597" s="19"/>
      <c r="D1597" s="55"/>
      <c r="E1597" s="55"/>
      <c r="F1597" s="19"/>
      <c r="G1597" s="47"/>
    </row>
    <row r="1599" spans="1:7" x14ac:dyDescent="0.2">
      <c r="A1599" s="72" t="s">
        <v>38</v>
      </c>
      <c r="G1599" s="63">
        <f>G15+G140+G213+G289+G309+G322+G331+G384+G408+G432+G462+G477+G574+G731+G813+G871+G910+G995+G1093+G1110+G1200+G1272+G1290+G1312+G1335+G1409+G1485+G1570+G1585</f>
        <v>25652483.449999996</v>
      </c>
    </row>
    <row r="1600" spans="1:7" x14ac:dyDescent="0.2">
      <c r="G1600" s="33"/>
    </row>
    <row r="1601" spans="1:8" ht="15.75" x14ac:dyDescent="0.2">
      <c r="A1601" s="49"/>
      <c r="B1601" s="27"/>
      <c r="C1601" s="27"/>
      <c r="D1601" s="50"/>
      <c r="E1601" s="27"/>
      <c r="F1601" s="27"/>
      <c r="G1601" s="73"/>
      <c r="H1601" s="32"/>
    </row>
    <row r="1602" spans="1:8" s="87" customFormat="1" ht="15.75" x14ac:dyDescent="0.2">
      <c r="A1602" s="84" t="s">
        <v>721</v>
      </c>
      <c r="B1602" s="85"/>
      <c r="C1602" s="85"/>
      <c r="D1602" s="85"/>
      <c r="E1602" s="85"/>
      <c r="F1602" s="85"/>
      <c r="G1602" s="86" t="s">
        <v>722</v>
      </c>
    </row>
    <row r="1603" spans="1:8" x14ac:dyDescent="0.2">
      <c r="G1603" s="74"/>
    </row>
  </sheetData>
  <mergeCells count="6">
    <mergeCell ref="A10:G10"/>
    <mergeCell ref="C1:G1"/>
    <mergeCell ref="C2:G2"/>
    <mergeCell ref="C3:G3"/>
    <mergeCell ref="C4:G4"/>
    <mergeCell ref="A9:G9"/>
  </mergeCells>
  <pageMargins left="0.59055118110236227" right="0.39370078740157483" top="0.59055118110236227" bottom="0.47244094488188981" header="0.31496062992125984" footer="0.31496062992125984"/>
  <pageSetup paperSize="9" scale="8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2018</vt:lpstr>
      <vt:lpstr>'2018'!Заголовки_для_печати</vt:lpstr>
    </vt:vector>
  </TitlesOfParts>
  <Company>tt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tty.</dc:creator>
  <cp:lastModifiedBy>Димеева Лейсан Г (FIN-092-PC - dimeeva.l)</cp:lastModifiedBy>
  <cp:lastPrinted>2018-04-18T08:01:37Z</cp:lastPrinted>
  <dcterms:created xsi:type="dcterms:W3CDTF">2005-01-21T12:57:08Z</dcterms:created>
  <dcterms:modified xsi:type="dcterms:W3CDTF">2018-10-18T07:09:33Z</dcterms:modified>
</cp:coreProperties>
</file>